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Default Extension="png" ContentType="image/png"/>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2150" windowHeight="8670" activeTab="0"/>
  </bookViews>
  <sheets>
    <sheet name="Assumptions" sheetId="1" r:id="rId1"/>
    <sheet name="Before" sheetId="2" r:id="rId2"/>
    <sheet name="After" sheetId="3" r:id="rId3"/>
    <sheet name="Results" sheetId="4" r:id="rId4"/>
  </sheets>
  <definedNames>
    <definedName name="aftCOC">'After'!$K$271</definedName>
    <definedName name="B">'Assumptions'!$F$23</definedName>
    <definedName name="CEE" localSheetId="2">'After'!$B$16</definedName>
    <definedName name="CEE">'Before'!$B$16</definedName>
    <definedName name="CES" localSheetId="2">'After'!$B$15</definedName>
    <definedName name="CES">'Before'!$B$15</definedName>
    <definedName name="ENDINP" localSheetId="2">'After'!$N$38</definedName>
    <definedName name="ENDINP">'Before'!$N$38</definedName>
    <definedName name="Kd">'Assumptions'!$C$24</definedName>
    <definedName name="Ke">'Assumptions'!$C$21</definedName>
    <definedName name="keyflag">'Assumptions'!$T$1</definedName>
    <definedName name="MRP">'Assumptions'!$F$22</definedName>
    <definedName name="NTRE" localSheetId="2">'After'!$B$12</definedName>
    <definedName name="NTRE">'Before'!$B$12</definedName>
    <definedName name="NTRS" localSheetId="2">'After'!$B$11</definedName>
    <definedName name="NTRS">'Before'!$B$11</definedName>
    <definedName name="_xlnm.Print_Area" localSheetId="2">'After'!$B$2:$O$38,'After'!$B$40:$O$95</definedName>
    <definedName name="_xlnm.Print_Area" localSheetId="1">'Before'!$B$2:$O$38,'Before'!$B$40:$O$95</definedName>
    <definedName name="_xlnm.Print_Area" localSheetId="3">'Results'!$B$2:$O$128</definedName>
    <definedName name="Rf">'Assumptions'!$F$21</definedName>
    <definedName name="scrAfter">'After'!$A$1:$O$286</definedName>
    <definedName name="scrAssumptions">'Assumptions'!$A$1:$I$56</definedName>
    <definedName name="scrBefore" localSheetId="2">'After'!$A$1:$O$286</definedName>
    <definedName name="scrBefore">'Before'!$A$1:$O$286</definedName>
    <definedName name="scrResults">'Results'!$A$1:$O$128</definedName>
    <definedName name="showad" localSheetId="2">'After'!$T$133</definedName>
    <definedName name="showad">'Before'!$T$133</definedName>
    <definedName name="showce" localSheetId="2">'After'!$T$219</definedName>
    <definedName name="showce">'Before'!$T$219</definedName>
    <definedName name="showcoc" localSheetId="2">'After'!$T$250</definedName>
    <definedName name="showcoc">'Before'!$T$250</definedName>
    <definedName name="showdep" localSheetId="2">'After'!$T$97</definedName>
    <definedName name="showdep">'Before'!$T$97</definedName>
    <definedName name="showgw" localSheetId="2">'After'!$T$186</definedName>
    <definedName name="showgw">'Before'!$T$186</definedName>
    <definedName name="showinv" localSheetId="2">'After'!$T$205</definedName>
    <definedName name="showinv">'Before'!$T$205</definedName>
    <definedName name="showtax" localSheetId="2">'After'!$T$276</definedName>
    <definedName name="showtax">'Before'!$T$276</definedName>
    <definedName name="Tax">'Assumptions'!$C$13</definedName>
    <definedName name="TRE" localSheetId="2">'After'!$B$8</definedName>
    <definedName name="TRE">'Before'!$B$8</definedName>
    <definedName name="TRS" localSheetId="2">'After'!$B$7</definedName>
    <definedName name="TRS">'Before'!$B$7</definedName>
    <definedName name="WACC">'Assumptions'!$F$27</definedName>
  </definedNames>
  <calcPr fullCalcOnLoad="1"/>
</workbook>
</file>

<file path=xl/sharedStrings.xml><?xml version="1.0" encoding="utf-8"?>
<sst xmlns="http://schemas.openxmlformats.org/spreadsheetml/2006/main" count="511" uniqueCount="210">
  <si>
    <t>Year 0</t>
  </si>
  <si>
    <t>Year 1</t>
  </si>
  <si>
    <t>Year 2</t>
  </si>
  <si>
    <t>Year 3</t>
  </si>
  <si>
    <t>Year 4</t>
  </si>
  <si>
    <t>Year 5</t>
  </si>
  <si>
    <t>Total</t>
  </si>
  <si>
    <t>Taxable Revenue</t>
  </si>
  <si>
    <t>Non-Taxable Revenue</t>
  </si>
  <si>
    <t>Capital Expenditure</t>
  </si>
  <si>
    <t xml:space="preserve">Accounting </t>
  </si>
  <si>
    <t>Age (Yrs)</t>
  </si>
  <si>
    <t>Current BV</t>
  </si>
  <si>
    <t>Rate</t>
  </si>
  <si>
    <t>Method</t>
  </si>
  <si>
    <t>Taxation</t>
  </si>
  <si>
    <t>Straight Line</t>
  </si>
  <si>
    <t>Total Expenditure</t>
  </si>
  <si>
    <t>New Investment</t>
  </si>
  <si>
    <t>Name of Investment</t>
  </si>
  <si>
    <t>Timing</t>
  </si>
  <si>
    <t>CE</t>
  </si>
  <si>
    <t>Equity Beta</t>
  </si>
  <si>
    <t>Risk-Free Rate</t>
  </si>
  <si>
    <t>Mid</t>
  </si>
  <si>
    <t>End</t>
  </si>
  <si>
    <t>Avg</t>
  </si>
  <si>
    <t>Beg</t>
  </si>
  <si>
    <t>the year (Mid) or at the end (End).</t>
  </si>
  <si>
    <t>Discount cash flow evenly through</t>
  </si>
  <si>
    <t>Capital Employed calculated at the start</t>
  </si>
  <si>
    <t>of the year (Beg) or averaged (Avg).</t>
  </si>
  <si>
    <t>Company/Business Tax Rate</t>
  </si>
  <si>
    <t>Credits</t>
  </si>
  <si>
    <t>Terminal Value</t>
  </si>
  <si>
    <t>Life (yrs)</t>
  </si>
  <si>
    <t>Diminishing</t>
  </si>
  <si>
    <t>New Asset</t>
  </si>
  <si>
    <t>Existing Asset</t>
  </si>
  <si>
    <t>Yr of Acq</t>
  </si>
  <si>
    <t>Acq Price</t>
  </si>
  <si>
    <t>Accounting Depreciation - Existing</t>
  </si>
  <si>
    <t>Tax Depreciation - Existing</t>
  </si>
  <si>
    <t>Accounting Depreciation - New</t>
  </si>
  <si>
    <t>Tax Depreciation - New</t>
  </si>
  <si>
    <t>PV of &gt; 5yr</t>
  </si>
  <si>
    <t>Operating Expenses</t>
  </si>
  <si>
    <t>PV &gt; 5Yrs</t>
  </si>
  <si>
    <t>Existing Assets</t>
  </si>
  <si>
    <t>Market Risk Premium</t>
  </si>
  <si>
    <t>First Year of Investment</t>
  </si>
  <si>
    <t>Include a terminal value after 5 years?</t>
  </si>
  <si>
    <t>Maturity</t>
  </si>
  <si>
    <t>Terminal</t>
  </si>
  <si>
    <t>Growth Rate after Yr 5 (or omit to use Yr 5 Growth Rate as per forecast).</t>
  </si>
  <si>
    <t>Year that the investment reaches maturity with growth rate at 0%</t>
  </si>
  <si>
    <t>Year that investment reaches redundancy with zero cash flows.</t>
  </si>
  <si>
    <t>Tax Calculation</t>
  </si>
  <si>
    <t>Total Taxable Revenue</t>
  </si>
  <si>
    <t>less Total Expenditure</t>
  </si>
  <si>
    <t>less Tax Depreciation</t>
  </si>
  <si>
    <t>plus Resid Tax Profit/(Loss)</t>
  </si>
  <si>
    <t xml:space="preserve">  Total Taxable Income</t>
  </si>
  <si>
    <t>Cash Tax Payable - No Carry</t>
  </si>
  <si>
    <t>Tax Payable - Carry Losses</t>
  </si>
  <si>
    <t>Capital Employed</t>
  </si>
  <si>
    <t>New Capital Expenditure</t>
  </si>
  <si>
    <t>Existing Asset Capital</t>
  </si>
  <si>
    <t>New Asset Capital</t>
  </si>
  <si>
    <t>Investment Expenses</t>
  </si>
  <si>
    <t>Profit Impact</t>
  </si>
  <si>
    <t>Capitalised Invest Expense</t>
  </si>
  <si>
    <t>Closing Capital Impact</t>
  </si>
  <si>
    <t>Total Opening Capital Employed</t>
  </si>
  <si>
    <t>Average Capital Employed</t>
  </si>
  <si>
    <t>Asset Disposals</t>
  </si>
  <si>
    <t>Tax Profit on Disposal - Existing</t>
  </si>
  <si>
    <t>Tax Profit on Disposal - New</t>
  </si>
  <si>
    <t>Cash Flow Analysis</t>
  </si>
  <si>
    <t xml:space="preserve">  Operating Cash Flow</t>
  </si>
  <si>
    <t>Asset Disposal Proceeds</t>
  </si>
  <si>
    <t xml:space="preserve">  Net Cash Flow</t>
  </si>
  <si>
    <t>Tax Payable</t>
  </si>
  <si>
    <t>Utilisation</t>
  </si>
  <si>
    <t>Discount Factor</t>
  </si>
  <si>
    <t>Economic Value Added</t>
  </si>
  <si>
    <t>Depreciation</t>
  </si>
  <si>
    <t>Goodwill</t>
  </si>
  <si>
    <t>Input Denomination</t>
  </si>
  <si>
    <t>$000</t>
  </si>
  <si>
    <t>Investment Details</t>
  </si>
  <si>
    <t>Capital and Cost of Capital</t>
  </si>
  <si>
    <t>Equity</t>
  </si>
  <si>
    <t>Ke</t>
  </si>
  <si>
    <t xml:space="preserve">Cost of Equity, or Calculate </t>
  </si>
  <si>
    <t>Debt</t>
  </si>
  <si>
    <t>Kd</t>
  </si>
  <si>
    <t>Current level of Company Debt</t>
  </si>
  <si>
    <t>Cost of Debt</t>
  </si>
  <si>
    <t xml:space="preserve">WACC = </t>
  </si>
  <si>
    <t>Weighted Average Cost of Capital</t>
  </si>
  <si>
    <t>Current level of Company Equity (in denomination above)</t>
  </si>
  <si>
    <t xml:space="preserve">Equity </t>
  </si>
  <si>
    <t>Funding</t>
  </si>
  <si>
    <t>Taxation &amp; Amortisation</t>
  </si>
  <si>
    <t>Goodwill Amort (Yrs)</t>
  </si>
  <si>
    <t>10</t>
  </si>
  <si>
    <t>Cost/Benefit Ratio</t>
  </si>
  <si>
    <t>Net Present Value of cash flows</t>
  </si>
  <si>
    <t>Free cash flow after 2 years</t>
  </si>
  <si>
    <t>Capital Constrained</t>
  </si>
  <si>
    <t>No Capital Constraint</t>
  </si>
  <si>
    <t>Apply default weightings:</t>
  </si>
  <si>
    <t>Assumptions</t>
  </si>
  <si>
    <t>Unamort.</t>
  </si>
  <si>
    <t>Amortisation  - Existing Assets</t>
  </si>
  <si>
    <t>UnAmort 5Yr</t>
  </si>
  <si>
    <t>Amortisation  - New Assets</t>
  </si>
  <si>
    <t>Accounting Profit on Disposal - Existing</t>
  </si>
  <si>
    <t>Accounting Profit on Disposal - New</t>
  </si>
  <si>
    <t xml:space="preserve">Total Accounting Depreciation </t>
  </si>
  <si>
    <t xml:space="preserve">Total Tax Depreciation </t>
  </si>
  <si>
    <t>Total Asset Disposal Value</t>
  </si>
  <si>
    <t>Disposal Value - Existing</t>
  </si>
  <si>
    <t>Disposal Value - New</t>
  </si>
  <si>
    <t>Total Tax Profit on Disposal</t>
  </si>
  <si>
    <t>Total Accounting Profit on Disposal</t>
  </si>
  <si>
    <t>Total Amortisation of Goodwill</t>
  </si>
  <si>
    <t>Total Capital Expenditure</t>
  </si>
  <si>
    <t>Total Closing Capital Impact</t>
  </si>
  <si>
    <t>Total Profit Impact</t>
  </si>
  <si>
    <t>Cost of Capital</t>
  </si>
  <si>
    <t>New Asset Equity Funding</t>
  </si>
  <si>
    <t>New Asset Debt Funding</t>
  </si>
  <si>
    <t>Company Equity Level</t>
  </si>
  <si>
    <t>Company Debt Level</t>
  </si>
  <si>
    <t>Interest Expense</t>
  </si>
  <si>
    <t>Company WACC</t>
  </si>
  <si>
    <t>Total Revenue</t>
  </si>
  <si>
    <t>less</t>
  </si>
  <si>
    <t>Expenditure</t>
  </si>
  <si>
    <t xml:space="preserve">  EBITDA</t>
  </si>
  <si>
    <t>Accounting Depreciation</t>
  </si>
  <si>
    <t>Goodwill Amortisation</t>
  </si>
  <si>
    <t xml:space="preserve">  EBIT</t>
  </si>
  <si>
    <t xml:space="preserve">  Net Profit B4 Ab. Items</t>
  </si>
  <si>
    <t>add</t>
  </si>
  <si>
    <t>Profit on Asset disposal</t>
  </si>
  <si>
    <t xml:space="preserve">  Net Profit</t>
  </si>
  <si>
    <t>Non Taxable Income</t>
  </si>
  <si>
    <t>Economic Adjustments</t>
  </si>
  <si>
    <t xml:space="preserve">  Economic Profit</t>
  </si>
  <si>
    <t>Capital Charge</t>
  </si>
  <si>
    <t xml:space="preserve">  Economic Value Added</t>
  </si>
  <si>
    <t>5 Yr PV of EVA</t>
  </si>
  <si>
    <t>Total PV of EVA</t>
  </si>
  <si>
    <t>PV of Capital Commitments after Year 5</t>
  </si>
  <si>
    <t>Disposal</t>
  </si>
  <si>
    <t>PV &gt;5Yr BV</t>
  </si>
  <si>
    <t>PV &gt;5Yr Dep</t>
  </si>
  <si>
    <t>5 Yr NPV</t>
  </si>
  <si>
    <t>Total NPV of Cash Flow</t>
  </si>
  <si>
    <t>Accounting Impact</t>
  </si>
  <si>
    <t>EVA capital charge?</t>
  </si>
  <si>
    <t>Amort Yrs</t>
  </si>
  <si>
    <t>Carry forward tax credits (if any) on operational losses?</t>
  </si>
  <si>
    <t>KEY ASSUMPTIONS</t>
  </si>
  <si>
    <t>Weight</t>
  </si>
  <si>
    <t>Return on Invested Capital (&gt; WACC)</t>
  </si>
  <si>
    <t>Comparable Investment Score</t>
  </si>
  <si>
    <t>Optimal</t>
  </si>
  <si>
    <t>Actg BV</t>
  </si>
  <si>
    <t>Description</t>
  </si>
  <si>
    <t>Include existing asset input data in</t>
  </si>
  <si>
    <t>Capex</t>
  </si>
  <si>
    <t>Year</t>
  </si>
  <si>
    <t>Cash Flow</t>
  </si>
  <si>
    <t>EVA</t>
  </si>
  <si>
    <t>Growth Rate</t>
  </si>
  <si>
    <t>NPV</t>
  </si>
  <si>
    <t>PV of</t>
  </si>
  <si>
    <t>(on Cash Flow)</t>
  </si>
  <si>
    <t>Growth</t>
  </si>
  <si>
    <t>5-Yr NPV of Cash Flow</t>
  </si>
  <si>
    <t>Payback Period (Year)</t>
  </si>
  <si>
    <t>Payback Period for cash invested</t>
  </si>
  <si>
    <t>Result</t>
  </si>
  <si>
    <t>Score</t>
  </si>
  <si>
    <t>Free Cash Flow after 2 years</t>
  </si>
  <si>
    <t>Net Present Value of Cash Flows</t>
  </si>
  <si>
    <t>Before (Year 0)</t>
  </si>
  <si>
    <t>After (Year 5)</t>
  </si>
  <si>
    <t>Change in Company Gearing</t>
  </si>
  <si>
    <t>Implicit Annual Growth Rates</t>
  </si>
  <si>
    <t>Net Cash Flow</t>
  </si>
  <si>
    <t>Total Revenues</t>
  </si>
  <si>
    <t>Total Expenses</t>
  </si>
  <si>
    <t>Change</t>
  </si>
  <si>
    <t>Operating Cash Flow</t>
  </si>
  <si>
    <t>Economic Profit</t>
  </si>
  <si>
    <t>Modified Internal Rate of Return</t>
  </si>
  <si>
    <t>COMPARABLE INVESTMENT SCORE</t>
  </si>
  <si>
    <t>ADDITIONAL ANALYSIS</t>
  </si>
  <si>
    <t xml:space="preserve">Comparable Investment Score  </t>
  </si>
  <si>
    <t>Cumulative</t>
  </si>
  <si>
    <t>Cash Flow Chart Analysis</t>
  </si>
  <si>
    <t>Economic Value Added Chart Analysis</t>
  </si>
  <si>
    <t>Include</t>
  </si>
  <si>
    <t>View:</t>
  </si>
  <si>
    <t>Status Quo</t>
  </si>
</sst>
</file>

<file path=xl/styles.xml><?xml version="1.0" encoding="utf-8"?>
<styleSheet xmlns="http://schemas.openxmlformats.org/spreadsheetml/2006/main">
  <numFmts count="5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0_);\(&quot;€&quot;#,##0\)"/>
    <numFmt numFmtId="179" formatCode="&quot;€&quot;#,##0_);[Red]\(&quot;€&quot;#,##0\)"/>
    <numFmt numFmtId="180" formatCode="&quot;€&quot;#,##0.00_);\(&quot;€&quot;#,##0.00\)"/>
    <numFmt numFmtId="181" formatCode="&quot;€&quot;#,##0.00_);[Red]\(&quot;€&quot;#,##0.00\)"/>
    <numFmt numFmtId="182" formatCode="_(&quot;€&quot;* #,##0_);_(&quot;€&quot;* \(#,##0\);_(&quot;€&quot;* &quot;-&quot;_);_(@_)"/>
    <numFmt numFmtId="183" formatCode="_(&quot;€&quot;* #,##0.00_);_(&quot;€&quot;* \(#,##0.00\);_(&quot;€&quot;* &quot;-&quot;??_);_(@_)"/>
    <numFmt numFmtId="184" formatCode="#,##0\ &quot;€&quot;;\-#,##0\ &quot;€&quot;"/>
    <numFmt numFmtId="185" formatCode="#,##0\ &quot;€&quot;;[Red]\-#,##0\ &quot;€&quot;"/>
    <numFmt numFmtId="186" formatCode="#,##0.00\ &quot;€&quot;;\-#,##0.00\ &quot;€&quot;"/>
    <numFmt numFmtId="187" formatCode="#,##0.00\ &quot;€&quot;;[Red]\-#,##0.00\ &quot;€&quot;"/>
    <numFmt numFmtId="188" formatCode="_-* #,##0\ &quot;€&quot;_-;\-* #,##0\ &quot;€&quot;_-;_-* &quot;-&quot;\ &quot;€&quot;_-;_-@_-"/>
    <numFmt numFmtId="189" formatCode="_-* #,##0\ _€_-;\-* #,##0\ _€_-;_-* &quot;-&quot;\ _€_-;_-@_-"/>
    <numFmt numFmtId="190" formatCode="_-* #,##0.00\ &quot;€&quot;_-;\-* #,##0.00\ &quot;€&quot;_-;_-* &quot;-&quot;??\ &quot;€&quot;_-;_-@_-"/>
    <numFmt numFmtId="191" formatCode="_-* #,##0.00\ _€_-;\-* #,##0.00\ _€_-;_-* &quot;-&quot;??\ _€_-;_-@_-"/>
    <numFmt numFmtId="192" formatCode="#,##0\ &quot;F&quot;;\-#,##0\ &quot;F&quot;"/>
    <numFmt numFmtId="193" formatCode="#,##0\ &quot;F&quot;;[Red]\-#,##0\ &quot;F&quot;"/>
    <numFmt numFmtId="194" formatCode="#,##0.00\ &quot;F&quot;;\-#,##0.00\ &quot;F&quot;"/>
    <numFmt numFmtId="195" formatCode="#,##0.00\ &quot;F&quot;;[Red]\-#,##0.00\ &quot;F&quot;"/>
    <numFmt numFmtId="196" formatCode="_-* #,##0\ &quot;F&quot;_-;\-* #,##0\ &quot;F&quot;_-;_-* &quot;-&quot;\ &quot;F&quot;_-;_-@_-"/>
    <numFmt numFmtId="197" formatCode="_-* #,##0\ _F_-;\-* #,##0\ _F_-;_-* &quot;-&quot;\ _F_-;_-@_-"/>
    <numFmt numFmtId="198" formatCode="_-* #,##0.00\ &quot;F&quot;_-;\-* #,##0.00\ &quot;F&quot;_-;_-* &quot;-&quot;??\ &quot;F&quot;_-;_-@_-"/>
    <numFmt numFmtId="199" formatCode="_-* #,##0.00\ _F_-;\-* #,##0.00\ _F_-;_-* &quot;-&quot;??\ _F_-;_-@_-"/>
    <numFmt numFmtId="200" formatCode="0.0%"/>
    <numFmt numFmtId="201" formatCode="0.0"/>
    <numFmt numFmtId="202" formatCode="#,##0_ ;[Red]\-#,##0\ "/>
    <numFmt numFmtId="203" formatCode="0.000"/>
    <numFmt numFmtId="204" formatCode="0.0000"/>
    <numFmt numFmtId="205" formatCode="0.000%"/>
    <numFmt numFmtId="206" formatCode="#,##0.0"/>
    <numFmt numFmtId="207" formatCode="#,##0;[Red]\(#,##0\)"/>
  </numFmts>
  <fonts count="27">
    <font>
      <sz val="10"/>
      <name val="Arial"/>
      <family val="0"/>
    </font>
    <font>
      <sz val="8"/>
      <name val="Arial"/>
      <family val="2"/>
    </font>
    <font>
      <b/>
      <sz val="10"/>
      <name val="Arial"/>
      <family val="2"/>
    </font>
    <font>
      <b/>
      <u val="single"/>
      <sz val="10"/>
      <name val="Arial"/>
      <family val="2"/>
    </font>
    <font>
      <sz val="8"/>
      <name val="Tahoma"/>
      <family val="2"/>
    </font>
    <font>
      <b/>
      <sz val="8"/>
      <name val="Arial"/>
      <family val="2"/>
    </font>
    <font>
      <i/>
      <sz val="8"/>
      <name val="Arial"/>
      <family val="2"/>
    </font>
    <font>
      <u val="single"/>
      <sz val="8"/>
      <name val="Arial"/>
      <family val="2"/>
    </font>
    <font>
      <i/>
      <sz val="8"/>
      <color indexed="55"/>
      <name val="Arial"/>
      <family val="2"/>
    </font>
    <font>
      <b/>
      <i/>
      <sz val="9"/>
      <name val="Arial"/>
      <family val="2"/>
    </font>
    <font>
      <b/>
      <sz val="9"/>
      <name val="Arial"/>
      <family val="2"/>
    </font>
    <font>
      <sz val="6"/>
      <name val="Arial"/>
      <family val="2"/>
    </font>
    <font>
      <sz val="8"/>
      <color indexed="54"/>
      <name val="Arial"/>
      <family val="2"/>
    </font>
    <font>
      <b/>
      <i/>
      <sz val="8"/>
      <name val="Arial"/>
      <family val="2"/>
    </font>
    <font>
      <b/>
      <sz val="10"/>
      <color indexed="10"/>
      <name val="Arial"/>
      <family val="2"/>
    </font>
    <font>
      <sz val="10"/>
      <name val="Arial Narrow"/>
      <family val="0"/>
    </font>
    <font>
      <b/>
      <sz val="8.75"/>
      <color indexed="9"/>
      <name val="Arial"/>
      <family val="2"/>
    </font>
    <font>
      <b/>
      <sz val="8.5"/>
      <color indexed="9"/>
      <name val="Arial"/>
      <family val="2"/>
    </font>
    <font>
      <b/>
      <sz val="8"/>
      <color indexed="9"/>
      <name val="Arial"/>
      <family val="2"/>
    </font>
    <font>
      <b/>
      <sz val="11"/>
      <color indexed="43"/>
      <name val="Arial"/>
      <family val="2"/>
    </font>
    <font>
      <b/>
      <sz val="10"/>
      <color indexed="43"/>
      <name val="Arial"/>
      <family val="2"/>
    </font>
    <font>
      <sz val="8"/>
      <color indexed="9"/>
      <name val="Arial"/>
      <family val="2"/>
    </font>
    <font>
      <sz val="10"/>
      <color indexed="9"/>
      <name val="Arial"/>
      <family val="2"/>
    </font>
    <font>
      <i/>
      <sz val="8"/>
      <color indexed="9"/>
      <name val="Arial"/>
      <family val="2"/>
    </font>
    <font>
      <sz val="9"/>
      <name val="Arial"/>
      <family val="2"/>
    </font>
    <font>
      <sz val="9"/>
      <color indexed="63"/>
      <name val="Arial"/>
      <family val="2"/>
    </font>
    <font>
      <b/>
      <sz val="11"/>
      <color indexed="51"/>
      <name val="Arial"/>
      <family val="2"/>
    </font>
  </fonts>
  <fills count="5">
    <fill>
      <patternFill/>
    </fill>
    <fill>
      <patternFill patternType="gray125"/>
    </fill>
    <fill>
      <patternFill patternType="solid">
        <fgColor indexed="44"/>
        <bgColor indexed="64"/>
      </patternFill>
    </fill>
    <fill>
      <patternFill patternType="solid">
        <fgColor indexed="45"/>
        <bgColor indexed="64"/>
      </patternFill>
    </fill>
    <fill>
      <patternFill patternType="gray125">
        <bgColor indexed="18"/>
      </patternFill>
    </fill>
  </fills>
  <borders count="87">
    <border>
      <left/>
      <right/>
      <top/>
      <bottom/>
      <diagonal/>
    </border>
    <border>
      <left style="thin"/>
      <right style="thin"/>
      <top style="thin"/>
      <bottom style="hair"/>
    </border>
    <border>
      <left style="thin"/>
      <right style="thin"/>
      <top style="thin"/>
      <bottom style="thin"/>
    </border>
    <border>
      <left>
        <color indexed="63"/>
      </left>
      <right>
        <color indexed="63"/>
      </right>
      <top style="thin">
        <color indexed="54"/>
      </top>
      <bottom>
        <color indexed="63"/>
      </bottom>
    </border>
    <border>
      <left>
        <color indexed="63"/>
      </left>
      <right style="thin">
        <color indexed="54"/>
      </right>
      <top style="thin">
        <color indexed="54"/>
      </top>
      <bottom>
        <color indexed="63"/>
      </bottom>
    </border>
    <border>
      <left style="thin">
        <color indexed="54"/>
      </left>
      <right>
        <color indexed="63"/>
      </right>
      <top>
        <color indexed="63"/>
      </top>
      <bottom>
        <color indexed="63"/>
      </bottom>
    </border>
    <border>
      <left>
        <color indexed="63"/>
      </left>
      <right style="thin">
        <color indexed="54"/>
      </right>
      <top>
        <color indexed="63"/>
      </top>
      <bottom>
        <color indexed="63"/>
      </bottom>
    </border>
    <border>
      <left style="thin">
        <color indexed="54"/>
      </left>
      <right>
        <color indexed="63"/>
      </right>
      <top>
        <color indexed="63"/>
      </top>
      <bottom style="thin">
        <color indexed="54"/>
      </bottom>
    </border>
    <border>
      <left>
        <color indexed="63"/>
      </left>
      <right>
        <color indexed="63"/>
      </right>
      <top>
        <color indexed="63"/>
      </top>
      <bottom style="thin">
        <color indexed="54"/>
      </bottom>
    </border>
    <border>
      <left>
        <color indexed="63"/>
      </left>
      <right style="thin">
        <color indexed="54"/>
      </right>
      <top>
        <color indexed="63"/>
      </top>
      <bottom style="thin">
        <color indexed="54"/>
      </bottom>
    </border>
    <border>
      <left style="thin">
        <color indexed="54"/>
      </left>
      <right>
        <color indexed="63"/>
      </right>
      <top style="hair">
        <color indexed="54"/>
      </top>
      <bottom>
        <color indexed="63"/>
      </bottom>
    </border>
    <border>
      <left>
        <color indexed="63"/>
      </left>
      <right>
        <color indexed="63"/>
      </right>
      <top style="hair">
        <color indexed="54"/>
      </top>
      <bottom>
        <color indexed="63"/>
      </bottom>
    </border>
    <border>
      <left>
        <color indexed="63"/>
      </left>
      <right style="thin">
        <color indexed="54"/>
      </right>
      <top style="hair">
        <color indexed="54"/>
      </top>
      <bottom>
        <color indexed="63"/>
      </bottom>
    </border>
    <border>
      <left style="thin">
        <color indexed="54"/>
      </left>
      <right>
        <color indexed="63"/>
      </right>
      <top>
        <color indexed="63"/>
      </top>
      <bottom style="hair">
        <color indexed="54"/>
      </bottom>
    </border>
    <border>
      <left>
        <color indexed="63"/>
      </left>
      <right>
        <color indexed="63"/>
      </right>
      <top>
        <color indexed="63"/>
      </top>
      <bottom style="hair">
        <color indexed="54"/>
      </bottom>
    </border>
    <border>
      <left style="hair">
        <color indexed="54"/>
      </left>
      <right>
        <color indexed="63"/>
      </right>
      <top>
        <color indexed="63"/>
      </top>
      <bottom>
        <color indexed="63"/>
      </bottom>
    </border>
    <border>
      <left style="hair">
        <color indexed="54"/>
      </left>
      <right>
        <color indexed="63"/>
      </right>
      <top>
        <color indexed="63"/>
      </top>
      <bottom style="hair">
        <color indexed="54"/>
      </bottom>
    </border>
    <border>
      <left>
        <color indexed="63"/>
      </left>
      <right style="thin">
        <color indexed="54"/>
      </right>
      <top>
        <color indexed="63"/>
      </top>
      <bottom style="hair">
        <color indexed="54"/>
      </bottom>
    </border>
    <border>
      <left style="thin"/>
      <right style="thin"/>
      <top style="thin"/>
      <bottom>
        <color indexed="63"/>
      </bottom>
    </border>
    <border>
      <left style="thin"/>
      <right style="thin"/>
      <top>
        <color indexed="63"/>
      </top>
      <bottom style="thin"/>
    </border>
    <border>
      <left style="thin">
        <color indexed="54"/>
      </left>
      <right style="thin">
        <color indexed="54"/>
      </right>
      <top style="thin">
        <color indexed="54"/>
      </top>
      <bottom style="thin">
        <color indexed="54"/>
      </bottom>
    </border>
    <border>
      <left style="hair">
        <color indexed="54"/>
      </left>
      <right>
        <color indexed="63"/>
      </right>
      <top>
        <color indexed="63"/>
      </top>
      <bottom style="thin">
        <color indexed="54"/>
      </bottom>
    </border>
    <border>
      <left style="hair">
        <color indexed="54"/>
      </left>
      <right>
        <color indexed="63"/>
      </right>
      <top style="hair">
        <color indexed="54"/>
      </top>
      <bottom>
        <color indexed="63"/>
      </bottom>
    </border>
    <border>
      <left>
        <color indexed="63"/>
      </left>
      <right>
        <color indexed="63"/>
      </right>
      <top style="thin">
        <color indexed="54"/>
      </top>
      <bottom style="thin"/>
    </border>
    <border>
      <left style="thin">
        <color indexed="54"/>
      </left>
      <right>
        <color indexed="63"/>
      </right>
      <top style="thin">
        <color indexed="54"/>
      </top>
      <bottom>
        <color indexed="63"/>
      </bottom>
    </border>
    <border>
      <left style="thin"/>
      <right style="thin">
        <color indexed="54"/>
      </right>
      <top style="thin"/>
      <bottom style="thin"/>
    </border>
    <border>
      <left style="thin"/>
      <right style="thin"/>
      <top style="hair"/>
      <bottom style="thin"/>
    </border>
    <border>
      <left style="thin"/>
      <right style="thin">
        <color indexed="54"/>
      </right>
      <top style="thin"/>
      <bottom style="hair"/>
    </border>
    <border>
      <left style="thin"/>
      <right style="thin">
        <color indexed="54"/>
      </right>
      <top style="hair"/>
      <bottom style="hair"/>
    </border>
    <border>
      <left style="thin"/>
      <right style="thin">
        <color indexed="54"/>
      </right>
      <top style="hair"/>
      <bottom style="thin"/>
    </border>
    <border>
      <left style="thin">
        <color indexed="54"/>
      </left>
      <right style="thin"/>
      <top style="thin"/>
      <bottom style="thin"/>
    </border>
    <border>
      <left style="thin"/>
      <right style="hair"/>
      <top style="thin"/>
      <bottom style="hair"/>
    </border>
    <border>
      <left style="hair"/>
      <right style="hair"/>
      <top style="thin"/>
      <bottom style="hair"/>
    </border>
    <border>
      <left style="hair"/>
      <right>
        <color indexed="63"/>
      </right>
      <top style="thin"/>
      <bottom style="hair"/>
    </border>
    <border>
      <left style="thin"/>
      <right style="hair"/>
      <top>
        <color indexed="63"/>
      </top>
      <bottom style="thin"/>
    </border>
    <border>
      <left style="hair"/>
      <right style="hair"/>
      <top>
        <color indexed="63"/>
      </top>
      <bottom style="thin"/>
    </border>
    <border>
      <left style="hair"/>
      <right>
        <color indexed="63"/>
      </right>
      <top>
        <color indexed="63"/>
      </top>
      <bottom style="thin"/>
    </border>
    <border>
      <left style="thin"/>
      <right style="thin"/>
      <top style="hair"/>
      <bottom style="hair"/>
    </border>
    <border>
      <left style="thin"/>
      <right style="hair"/>
      <top style="hair"/>
      <bottom style="hair"/>
    </border>
    <border>
      <left style="hair"/>
      <right style="hair"/>
      <top style="hair"/>
      <bottom style="hair"/>
    </border>
    <border>
      <left style="thin"/>
      <right style="hair"/>
      <top style="hair"/>
      <bottom style="thin"/>
    </border>
    <border>
      <left style="hair"/>
      <right style="hair"/>
      <top style="hair"/>
      <bottom style="thin"/>
    </border>
    <border>
      <left style="hair"/>
      <right style="thin"/>
      <top style="thin"/>
      <bottom style="hair"/>
    </border>
    <border>
      <left style="hair"/>
      <right style="thin"/>
      <top style="hair"/>
      <bottom style="hair"/>
    </border>
    <border>
      <left style="hair"/>
      <right style="thin"/>
      <top style="hair"/>
      <bottom style="thin"/>
    </border>
    <border>
      <left style="thin">
        <color indexed="54"/>
      </left>
      <right style="thin">
        <color indexed="54"/>
      </right>
      <top style="thin">
        <color indexed="54"/>
      </top>
      <bottom style="thin"/>
    </border>
    <border>
      <left style="thin">
        <color indexed="54"/>
      </left>
      <right style="thin">
        <color indexed="54"/>
      </right>
      <top>
        <color indexed="63"/>
      </top>
      <bottom>
        <color indexed="63"/>
      </bottom>
    </border>
    <border>
      <left>
        <color indexed="63"/>
      </left>
      <right>
        <color indexed="63"/>
      </right>
      <top>
        <color indexed="63"/>
      </top>
      <bottom style="thin"/>
    </border>
    <border>
      <left style="thin">
        <color indexed="54"/>
      </left>
      <right style="thin">
        <color indexed="54"/>
      </right>
      <top>
        <color indexed="63"/>
      </top>
      <bottom style="thin"/>
    </border>
    <border>
      <left>
        <color indexed="63"/>
      </left>
      <right>
        <color indexed="63"/>
      </right>
      <top style="thin"/>
      <bottom style="medium"/>
    </border>
    <border>
      <left style="thin">
        <color indexed="54"/>
      </left>
      <right style="thin">
        <color indexed="54"/>
      </right>
      <top style="thin"/>
      <bottom style="medium"/>
    </border>
    <border>
      <left style="thin">
        <color indexed="54"/>
      </left>
      <right>
        <color indexed="63"/>
      </right>
      <top style="thin">
        <color indexed="54"/>
      </top>
      <bottom style="thin"/>
    </border>
    <border>
      <left style="thin">
        <color indexed="54"/>
      </left>
      <right>
        <color indexed="63"/>
      </right>
      <top>
        <color indexed="63"/>
      </top>
      <bottom style="thin"/>
    </border>
    <border>
      <left style="thin">
        <color indexed="54"/>
      </left>
      <right>
        <color indexed="63"/>
      </right>
      <top style="thin"/>
      <bottom style="medium"/>
    </border>
    <border>
      <left style="hair"/>
      <right>
        <color indexed="63"/>
      </right>
      <top>
        <color indexed="63"/>
      </top>
      <bottom>
        <color indexed="63"/>
      </bottom>
    </border>
    <border>
      <left>
        <color indexed="63"/>
      </left>
      <right>
        <color indexed="63"/>
      </right>
      <top style="thin"/>
      <bottom style="thin"/>
    </border>
    <border>
      <left style="hair"/>
      <right>
        <color indexed="63"/>
      </right>
      <top style="thin"/>
      <bottom style="thin"/>
    </border>
    <border>
      <left style="hair"/>
      <right>
        <color indexed="63"/>
      </right>
      <top style="thin"/>
      <bottom style="medium"/>
    </border>
    <border>
      <left style="hair"/>
      <right>
        <color indexed="63"/>
      </right>
      <top style="medium"/>
      <bottom style="thin"/>
    </border>
    <border>
      <left>
        <color indexed="63"/>
      </left>
      <right style="thin">
        <color indexed="54"/>
      </right>
      <top>
        <color indexed="63"/>
      </top>
      <bottom style="thin"/>
    </border>
    <border>
      <left style="thin"/>
      <right style="thin"/>
      <top style="thin"/>
      <bottom style="double"/>
    </border>
    <border>
      <left style="thin">
        <color indexed="54"/>
      </left>
      <right>
        <color indexed="63"/>
      </right>
      <top style="thin">
        <color indexed="54"/>
      </top>
      <bottom style="thin">
        <color indexed="54"/>
      </bottom>
    </border>
    <border>
      <left>
        <color indexed="63"/>
      </left>
      <right>
        <color indexed="63"/>
      </right>
      <top style="thin">
        <color indexed="54"/>
      </top>
      <bottom style="thin">
        <color indexed="54"/>
      </bottom>
    </border>
    <border>
      <left>
        <color indexed="63"/>
      </left>
      <right style="thin">
        <color indexed="54"/>
      </right>
      <top style="thin">
        <color indexed="54"/>
      </top>
      <bottom style="thin">
        <color indexed="54"/>
      </bottom>
    </border>
    <border>
      <left style="thin">
        <color indexed="54"/>
      </left>
      <right>
        <color indexed="63"/>
      </right>
      <top style="thin">
        <color indexed="54"/>
      </top>
      <bottom style="hair">
        <color indexed="54"/>
      </bottom>
    </border>
    <border>
      <left>
        <color indexed="63"/>
      </left>
      <right>
        <color indexed="63"/>
      </right>
      <top style="thin">
        <color indexed="54"/>
      </top>
      <bottom style="hair">
        <color indexed="54"/>
      </bottom>
    </border>
    <border>
      <left>
        <color indexed="63"/>
      </left>
      <right style="thin">
        <color indexed="54"/>
      </right>
      <top style="thin">
        <color indexed="54"/>
      </top>
      <bottom style="hair">
        <color indexed="54"/>
      </bottom>
    </border>
    <border>
      <left style="thin">
        <color indexed="54"/>
      </left>
      <right style="thin">
        <color indexed="54"/>
      </right>
      <top style="thin">
        <color indexed="54"/>
      </top>
      <bottom style="hair">
        <color indexed="54"/>
      </bottom>
    </border>
    <border>
      <left style="thin">
        <color indexed="54"/>
      </left>
      <right>
        <color indexed="63"/>
      </right>
      <top style="hair">
        <color indexed="54"/>
      </top>
      <bottom style="hair">
        <color indexed="54"/>
      </bottom>
    </border>
    <border>
      <left>
        <color indexed="63"/>
      </left>
      <right>
        <color indexed="63"/>
      </right>
      <top style="hair">
        <color indexed="54"/>
      </top>
      <bottom style="hair">
        <color indexed="54"/>
      </bottom>
    </border>
    <border>
      <left>
        <color indexed="63"/>
      </left>
      <right style="thin">
        <color indexed="54"/>
      </right>
      <top style="hair">
        <color indexed="54"/>
      </top>
      <bottom style="hair">
        <color indexed="54"/>
      </bottom>
    </border>
    <border>
      <left style="thin">
        <color indexed="54"/>
      </left>
      <right style="thin">
        <color indexed="54"/>
      </right>
      <top style="hair">
        <color indexed="54"/>
      </top>
      <bottom style="hair">
        <color indexed="54"/>
      </bottom>
    </border>
    <border>
      <left style="thin">
        <color indexed="54"/>
      </left>
      <right>
        <color indexed="63"/>
      </right>
      <top style="hair">
        <color indexed="54"/>
      </top>
      <bottom style="thin">
        <color indexed="54"/>
      </bottom>
    </border>
    <border>
      <left>
        <color indexed="63"/>
      </left>
      <right>
        <color indexed="63"/>
      </right>
      <top style="hair">
        <color indexed="54"/>
      </top>
      <bottom style="thin">
        <color indexed="54"/>
      </bottom>
    </border>
    <border>
      <left>
        <color indexed="63"/>
      </left>
      <right style="thin">
        <color indexed="54"/>
      </right>
      <top style="hair">
        <color indexed="54"/>
      </top>
      <bottom style="thin">
        <color indexed="54"/>
      </bottom>
    </border>
    <border>
      <left style="thin">
        <color indexed="54"/>
      </left>
      <right style="thin">
        <color indexed="54"/>
      </right>
      <top style="hair">
        <color indexed="54"/>
      </top>
      <bottom style="thin">
        <color indexed="54"/>
      </bottom>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color indexed="63"/>
      </top>
      <bottom style="thin"/>
    </border>
    <border>
      <left>
        <color indexed="63"/>
      </left>
      <right style="thin"/>
      <top>
        <color indexed="63"/>
      </top>
      <bottom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99" fontId="0" fillId="0" borderId="0" applyFont="0" applyFill="0" applyBorder="0" applyAlignment="0" applyProtection="0"/>
    <xf numFmtId="197" fontId="0" fillId="0" borderId="0" applyFont="0" applyFill="0" applyBorder="0" applyAlignment="0" applyProtection="0"/>
    <xf numFmtId="38" fontId="0" fillId="0" borderId="0" applyFont="0" applyFill="0" applyBorder="0" applyAlignment="0" applyProtection="0"/>
    <xf numFmtId="198" fontId="0" fillId="0" borderId="0" applyFont="0" applyFill="0" applyBorder="0" applyAlignment="0" applyProtection="0"/>
    <xf numFmtId="196" fontId="0" fillId="0" borderId="0" applyFont="0" applyFill="0" applyBorder="0" applyAlignment="0" applyProtection="0"/>
    <xf numFmtId="0" fontId="15" fillId="0" borderId="0">
      <alignment/>
      <protection/>
    </xf>
    <xf numFmtId="9" fontId="0" fillId="0" borderId="0" applyFont="0" applyFill="0" applyBorder="0" applyAlignment="0" applyProtection="0"/>
  </cellStyleXfs>
  <cellXfs count="314">
    <xf numFmtId="0" fontId="0" fillId="0" borderId="0" xfId="0" applyAlignment="1">
      <alignment/>
    </xf>
    <xf numFmtId="0" fontId="0" fillId="0" borderId="0" xfId="0" applyAlignment="1">
      <alignment horizontal="center"/>
    </xf>
    <xf numFmtId="0" fontId="1" fillId="0" borderId="0" xfId="0" applyFont="1" applyAlignment="1">
      <alignment/>
    </xf>
    <xf numFmtId="3" fontId="1" fillId="0" borderId="1" xfId="0" applyNumberFormat="1" applyFont="1" applyBorder="1" applyAlignment="1">
      <alignment/>
    </xf>
    <xf numFmtId="0" fontId="5" fillId="0" borderId="2" xfId="0" applyFont="1" applyBorder="1" applyAlignment="1">
      <alignment horizontal="center"/>
    </xf>
    <xf numFmtId="0" fontId="0" fillId="0" borderId="3" xfId="0" applyBorder="1" applyAlignment="1">
      <alignment/>
    </xf>
    <xf numFmtId="0" fontId="0" fillId="0" borderId="4" xfId="0" applyBorder="1" applyAlignment="1">
      <alignment/>
    </xf>
    <xf numFmtId="0" fontId="0" fillId="0" borderId="5" xfId="0" applyBorder="1" applyAlignment="1">
      <alignment/>
    </xf>
    <xf numFmtId="0" fontId="0" fillId="0" borderId="0" xfId="0" applyBorder="1" applyAlignment="1">
      <alignment/>
    </xf>
    <xf numFmtId="0" fontId="0" fillId="0" borderId="6" xfId="0" applyBorder="1" applyAlignment="1">
      <alignment/>
    </xf>
    <xf numFmtId="0" fontId="6" fillId="0" borderId="5" xfId="0" applyFont="1" applyBorder="1" applyAlignment="1">
      <alignment/>
    </xf>
    <xf numFmtId="0" fontId="6" fillId="0" borderId="7" xfId="0" applyFont="1" applyBorder="1" applyAlignment="1">
      <alignment/>
    </xf>
    <xf numFmtId="0" fontId="6" fillId="0" borderId="8" xfId="0" applyFont="1" applyBorder="1" applyAlignment="1">
      <alignment/>
    </xf>
    <xf numFmtId="0" fontId="6" fillId="0" borderId="9" xfId="0" applyFont="1" applyBorder="1" applyAlignment="1">
      <alignment/>
    </xf>
    <xf numFmtId="0" fontId="1" fillId="0" borderId="0" xfId="0" applyFont="1" applyBorder="1" applyAlignment="1">
      <alignment/>
    </xf>
    <xf numFmtId="0" fontId="0" fillId="0" borderId="0" xfId="0" applyBorder="1" applyAlignment="1">
      <alignment horizontal="center"/>
    </xf>
    <xf numFmtId="0" fontId="0" fillId="0" borderId="7" xfId="0" applyBorder="1" applyAlignment="1">
      <alignment/>
    </xf>
    <xf numFmtId="0" fontId="0" fillId="0" borderId="8" xfId="0" applyBorder="1" applyAlignment="1">
      <alignment/>
    </xf>
    <xf numFmtId="0" fontId="0" fillId="0" borderId="9" xfId="0" applyBorder="1" applyAlignment="1">
      <alignment/>
    </xf>
    <xf numFmtId="0" fontId="0" fillId="0" borderId="10" xfId="0" applyBorder="1" applyAlignment="1">
      <alignment/>
    </xf>
    <xf numFmtId="0" fontId="1" fillId="0" borderId="11" xfId="0" applyFont="1" applyBorder="1" applyAlignment="1">
      <alignment/>
    </xf>
    <xf numFmtId="0" fontId="0" fillId="0" borderId="12" xfId="0" applyBorder="1" applyAlignment="1">
      <alignment/>
    </xf>
    <xf numFmtId="3" fontId="1" fillId="0" borderId="0" xfId="0" applyNumberFormat="1" applyFont="1" applyBorder="1" applyAlignment="1">
      <alignment/>
    </xf>
    <xf numFmtId="0" fontId="1" fillId="0" borderId="0" xfId="0" applyFont="1" applyBorder="1" applyAlignment="1">
      <alignment horizontal="right"/>
    </xf>
    <xf numFmtId="10" fontId="1" fillId="0" borderId="0" xfId="0" applyNumberFormat="1" applyFont="1" applyFill="1" applyBorder="1" applyAlignment="1">
      <alignment horizontal="center"/>
    </xf>
    <xf numFmtId="0" fontId="0" fillId="0" borderId="6" xfId="0" applyBorder="1" applyAlignment="1">
      <alignment horizontal="center"/>
    </xf>
    <xf numFmtId="0" fontId="9" fillId="0" borderId="11" xfId="0" applyFont="1" applyBorder="1" applyAlignment="1">
      <alignment horizontal="right"/>
    </xf>
    <xf numFmtId="0" fontId="1" fillId="0" borderId="0" xfId="0" applyFont="1" applyFill="1" applyBorder="1" applyAlignment="1">
      <alignment/>
    </xf>
    <xf numFmtId="10" fontId="1" fillId="0" borderId="8" xfId="0" applyNumberFormat="1" applyFont="1" applyFill="1" applyBorder="1" applyAlignment="1">
      <alignment horizontal="center"/>
    </xf>
    <xf numFmtId="0" fontId="1" fillId="0" borderId="8" xfId="0" applyFont="1" applyBorder="1" applyAlignment="1">
      <alignment/>
    </xf>
    <xf numFmtId="0" fontId="0" fillId="0" borderId="13" xfId="0" applyBorder="1" applyAlignment="1">
      <alignment/>
    </xf>
    <xf numFmtId="0" fontId="1" fillId="0" borderId="14" xfId="0" applyFont="1" applyBorder="1" applyAlignment="1">
      <alignment/>
    </xf>
    <xf numFmtId="0" fontId="1" fillId="0" borderId="15" xfId="0" applyFont="1" applyBorder="1" applyAlignment="1">
      <alignment horizontal="righ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5" fillId="0" borderId="18" xfId="0" applyFont="1" applyBorder="1" applyAlignment="1">
      <alignment horizontal="center"/>
    </xf>
    <xf numFmtId="0" fontId="5" fillId="0" borderId="19" xfId="0" applyFont="1" applyFill="1" applyBorder="1" applyAlignment="1">
      <alignment horizontal="center"/>
    </xf>
    <xf numFmtId="0" fontId="11" fillId="0" borderId="6" xfId="0" applyFont="1" applyBorder="1" applyAlignment="1">
      <alignment/>
    </xf>
    <xf numFmtId="3" fontId="1" fillId="0" borderId="19" xfId="0" applyNumberFormat="1" applyFont="1" applyBorder="1" applyAlignment="1">
      <alignment/>
    </xf>
    <xf numFmtId="0" fontId="2" fillId="0" borderId="20" xfId="0" applyFont="1" applyBorder="1" applyAlignment="1">
      <alignment horizontal="right"/>
    </xf>
    <xf numFmtId="0" fontId="7" fillId="0" borderId="0" xfId="0" applyFont="1" applyBorder="1" applyAlignment="1">
      <alignment horizontal="right"/>
    </xf>
    <xf numFmtId="205" fontId="0" fillId="0" borderId="0" xfId="21" applyNumberFormat="1" applyAlignment="1">
      <alignment/>
    </xf>
    <xf numFmtId="0" fontId="1" fillId="0" borderId="21" xfId="0" applyFont="1" applyBorder="1" applyAlignment="1">
      <alignment/>
    </xf>
    <xf numFmtId="0" fontId="1" fillId="0" borderId="22" xfId="0" applyFont="1" applyBorder="1" applyAlignment="1">
      <alignment horizontal="left"/>
    </xf>
    <xf numFmtId="0" fontId="1" fillId="0" borderId="12" xfId="0" applyFont="1" applyBorder="1" applyAlignment="1">
      <alignment horizontal="center"/>
    </xf>
    <xf numFmtId="0" fontId="0" fillId="0" borderId="16" xfId="0" applyBorder="1" applyAlignment="1">
      <alignment horizontal="right"/>
    </xf>
    <xf numFmtId="10" fontId="10" fillId="0" borderId="17" xfId="0" applyNumberFormat="1" applyFont="1" applyBorder="1" applyAlignment="1">
      <alignment horizontal="left"/>
    </xf>
    <xf numFmtId="0" fontId="1" fillId="0" borderId="22" xfId="0" applyFont="1" applyBorder="1" applyAlignment="1">
      <alignment/>
    </xf>
    <xf numFmtId="0" fontId="3" fillId="0" borderId="0" xfId="0" applyFont="1" applyBorder="1" applyAlignment="1">
      <alignment/>
    </xf>
    <xf numFmtId="3" fontId="0" fillId="0" borderId="0" xfId="0" applyNumberFormat="1" applyBorder="1" applyAlignment="1">
      <alignment/>
    </xf>
    <xf numFmtId="9" fontId="0" fillId="0" borderId="6" xfId="0" applyNumberFormat="1" applyBorder="1" applyAlignment="1">
      <alignment/>
    </xf>
    <xf numFmtId="1" fontId="13" fillId="0" borderId="23" xfId="0" applyNumberFormat="1" applyFont="1" applyBorder="1" applyAlignment="1">
      <alignment/>
    </xf>
    <xf numFmtId="0" fontId="1" fillId="0" borderId="2" xfId="0" applyFont="1" applyBorder="1" applyAlignment="1">
      <alignment horizontal="center"/>
    </xf>
    <xf numFmtId="0" fontId="14" fillId="0" borderId="0" xfId="0" applyFont="1" applyAlignment="1">
      <alignment/>
    </xf>
    <xf numFmtId="0" fontId="5" fillId="0" borderId="18" xfId="0" applyFont="1" applyBorder="1" applyAlignment="1">
      <alignment horizontal="left"/>
    </xf>
    <xf numFmtId="0" fontId="5" fillId="0" borderId="19" xfId="0" applyFont="1" applyFill="1" applyBorder="1" applyAlignment="1">
      <alignment horizontal="left"/>
    </xf>
    <xf numFmtId="49" fontId="13" fillId="0" borderId="24" xfId="0" applyNumberFormat="1" applyFont="1" applyBorder="1" applyAlignment="1">
      <alignment horizontal="center"/>
    </xf>
    <xf numFmtId="0" fontId="2" fillId="0" borderId="20" xfId="0" applyFont="1" applyBorder="1" applyAlignment="1">
      <alignment horizontal="left"/>
    </xf>
    <xf numFmtId="205" fontId="0" fillId="0" borderId="0" xfId="21" applyNumberFormat="1" applyAlignment="1">
      <alignment/>
    </xf>
    <xf numFmtId="0" fontId="7" fillId="0" borderId="5" xfId="0" applyFont="1" applyBorder="1" applyAlignment="1">
      <alignment horizontal="center"/>
    </xf>
    <xf numFmtId="0" fontId="0" fillId="0" borderId="0" xfId="0" applyFont="1" applyAlignment="1">
      <alignment/>
    </xf>
    <xf numFmtId="1" fontId="0" fillId="0" borderId="0" xfId="0" applyNumberFormat="1" applyFont="1" applyAlignment="1">
      <alignment/>
    </xf>
    <xf numFmtId="0" fontId="21" fillId="0" borderId="0" xfId="20" applyFont="1" applyBorder="1" applyAlignment="1">
      <alignment horizontal="center"/>
      <protection/>
    </xf>
    <xf numFmtId="3" fontId="21" fillId="0" borderId="0" xfId="20" applyNumberFormat="1" applyFont="1" applyBorder="1" applyAlignment="1">
      <alignment horizontal="center"/>
      <protection/>
    </xf>
    <xf numFmtId="207" fontId="21" fillId="0" borderId="0" xfId="17" applyNumberFormat="1" applyFont="1" applyBorder="1" applyAlignment="1">
      <alignment horizontal="center"/>
    </xf>
    <xf numFmtId="0" fontId="21" fillId="0" borderId="0" xfId="20" applyFont="1" applyBorder="1">
      <alignment/>
      <protection/>
    </xf>
    <xf numFmtId="0" fontId="22" fillId="0" borderId="0" xfId="0" applyFont="1" applyBorder="1" applyAlignment="1">
      <alignment/>
    </xf>
    <xf numFmtId="0" fontId="23" fillId="0" borderId="0" xfId="20" applyFont="1" applyFill="1" applyBorder="1" applyAlignment="1">
      <alignment horizontal="center"/>
      <protection/>
    </xf>
    <xf numFmtId="3" fontId="23" fillId="0" borderId="0" xfId="20" applyNumberFormat="1" applyFont="1" applyFill="1" applyBorder="1" applyAlignment="1">
      <alignment horizontal="center"/>
      <protection/>
    </xf>
    <xf numFmtId="207" fontId="21" fillId="0" borderId="0" xfId="17" applyNumberFormat="1" applyFont="1" applyBorder="1" applyAlignment="1">
      <alignment/>
    </xf>
    <xf numFmtId="1" fontId="21" fillId="0" borderId="0" xfId="20" applyNumberFormat="1" applyFont="1" applyBorder="1">
      <alignment/>
      <protection/>
    </xf>
    <xf numFmtId="1" fontId="22" fillId="0" borderId="0" xfId="0" applyNumberFormat="1" applyFont="1" applyBorder="1" applyAlignment="1">
      <alignment/>
    </xf>
    <xf numFmtId="3" fontId="22" fillId="0" borderId="0" xfId="0" applyNumberFormat="1" applyFont="1" applyBorder="1" applyAlignment="1">
      <alignment/>
    </xf>
    <xf numFmtId="10" fontId="23" fillId="0" borderId="0" xfId="20" applyNumberFormat="1" applyFont="1" applyFill="1" applyBorder="1" applyAlignment="1">
      <alignment horizontal="center"/>
      <protection/>
    </xf>
    <xf numFmtId="10" fontId="21" fillId="0" borderId="0" xfId="20" applyNumberFormat="1" applyFont="1" applyBorder="1" applyAlignment="1">
      <alignment horizontal="center"/>
      <protection/>
    </xf>
    <xf numFmtId="10" fontId="21" fillId="0" borderId="0" xfId="21" applyNumberFormat="1" applyFont="1" applyBorder="1" applyAlignment="1">
      <alignment horizontal="center"/>
    </xf>
    <xf numFmtId="10" fontId="22" fillId="0" borderId="0" xfId="0" applyNumberFormat="1" applyFont="1" applyBorder="1" applyAlignment="1">
      <alignment/>
    </xf>
    <xf numFmtId="10" fontId="22" fillId="0" borderId="0" xfId="21" applyNumberFormat="1" applyFont="1" applyBorder="1" applyAlignment="1">
      <alignment/>
    </xf>
    <xf numFmtId="0" fontId="22" fillId="0" borderId="0" xfId="0" applyFont="1" applyAlignment="1">
      <alignment/>
    </xf>
    <xf numFmtId="0" fontId="6" fillId="2" borderId="2" xfId="0" applyFont="1" applyFill="1" applyBorder="1" applyAlignment="1" applyProtection="1">
      <alignment/>
      <protection locked="0"/>
    </xf>
    <xf numFmtId="1" fontId="1" fillId="2" borderId="2" xfId="0" applyNumberFormat="1" applyFont="1" applyFill="1" applyBorder="1" applyAlignment="1" applyProtection="1">
      <alignment horizontal="center"/>
      <protection locked="0"/>
    </xf>
    <xf numFmtId="49" fontId="1" fillId="2" borderId="25" xfId="0" applyNumberFormat="1" applyFont="1" applyFill="1" applyBorder="1" applyAlignment="1" applyProtection="1">
      <alignment horizontal="center"/>
      <protection locked="0"/>
    </xf>
    <xf numFmtId="10" fontId="1" fillId="2" borderId="2" xfId="0" applyNumberFormat="1" applyFont="1" applyFill="1" applyBorder="1" applyAlignment="1" applyProtection="1">
      <alignment horizontal="center"/>
      <protection locked="0"/>
    </xf>
    <xf numFmtId="3" fontId="1" fillId="2" borderId="1" xfId="0" applyNumberFormat="1" applyFont="1" applyFill="1" applyBorder="1" applyAlignment="1" applyProtection="1">
      <alignment horizontal="center"/>
      <protection locked="0"/>
    </xf>
    <xf numFmtId="10" fontId="1" fillId="2" borderId="26" xfId="0" applyNumberFormat="1" applyFont="1" applyFill="1" applyBorder="1" applyAlignment="1" applyProtection="1">
      <alignment horizontal="center"/>
      <protection locked="0"/>
    </xf>
    <xf numFmtId="10" fontId="1" fillId="2" borderId="27" xfId="0" applyNumberFormat="1" applyFont="1" applyFill="1" applyBorder="1" applyAlignment="1" applyProtection="1">
      <alignment horizontal="center"/>
      <protection locked="0"/>
    </xf>
    <xf numFmtId="10" fontId="1" fillId="2" borderId="28" xfId="0" applyNumberFormat="1" applyFont="1" applyFill="1" applyBorder="1" applyAlignment="1" applyProtection="1">
      <alignment horizontal="center"/>
      <protection locked="0"/>
    </xf>
    <xf numFmtId="2" fontId="1" fillId="2" borderId="29" xfId="0" applyNumberFormat="1" applyFont="1" applyFill="1" applyBorder="1" applyAlignment="1" applyProtection="1">
      <alignment horizontal="center"/>
      <protection locked="0"/>
    </xf>
    <xf numFmtId="1" fontId="1" fillId="2" borderId="1" xfId="0" applyNumberFormat="1" applyFont="1" applyFill="1" applyBorder="1" applyAlignment="1" applyProtection="1">
      <alignment horizontal="center"/>
      <protection locked="0"/>
    </xf>
    <xf numFmtId="1" fontId="1" fillId="2" borderId="26" xfId="0" applyNumberFormat="1" applyFont="1" applyFill="1" applyBorder="1" applyAlignment="1" applyProtection="1">
      <alignment horizontal="center"/>
      <protection locked="0"/>
    </xf>
    <xf numFmtId="3" fontId="1" fillId="2" borderId="30" xfId="0" applyNumberFormat="1" applyFont="1" applyFill="1" applyBorder="1" applyAlignment="1" applyProtection="1">
      <alignment horizontal="center"/>
      <protection locked="0"/>
    </xf>
    <xf numFmtId="10" fontId="1" fillId="2" borderId="30" xfId="0" applyNumberFormat="1" applyFont="1" applyFill="1" applyBorder="1" applyAlignment="1" applyProtection="1">
      <alignment horizontal="center"/>
      <protection locked="0"/>
    </xf>
    <xf numFmtId="206" fontId="1" fillId="2" borderId="30" xfId="0" applyNumberFormat="1" applyFont="1" applyFill="1" applyBorder="1" applyAlignment="1" applyProtection="1">
      <alignment horizontal="center"/>
      <protection locked="0"/>
    </xf>
    <xf numFmtId="0" fontId="1" fillId="2" borderId="1" xfId="0" applyFont="1" applyFill="1" applyBorder="1" applyAlignment="1" applyProtection="1">
      <alignment/>
      <protection locked="0"/>
    </xf>
    <xf numFmtId="0" fontId="1" fillId="2" borderId="19" xfId="0" applyFont="1" applyFill="1" applyBorder="1" applyAlignment="1" applyProtection="1">
      <alignment/>
      <protection locked="0"/>
    </xf>
    <xf numFmtId="3" fontId="1" fillId="2" borderId="31" xfId="0" applyNumberFormat="1" applyFont="1" applyFill="1" applyBorder="1" applyAlignment="1" applyProtection="1">
      <alignment/>
      <protection locked="0"/>
    </xf>
    <xf numFmtId="3" fontId="1" fillId="2" borderId="32" xfId="0" applyNumberFormat="1" applyFont="1" applyFill="1" applyBorder="1" applyAlignment="1" applyProtection="1">
      <alignment/>
      <protection locked="0"/>
    </xf>
    <xf numFmtId="3" fontId="1" fillId="2" borderId="33" xfId="0" applyNumberFormat="1" applyFont="1" applyFill="1" applyBorder="1" applyAlignment="1" applyProtection="1">
      <alignment/>
      <protection locked="0"/>
    </xf>
    <xf numFmtId="3" fontId="1" fillId="2" borderId="34" xfId="0" applyNumberFormat="1" applyFont="1" applyFill="1" applyBorder="1" applyAlignment="1" applyProtection="1">
      <alignment/>
      <protection locked="0"/>
    </xf>
    <xf numFmtId="3" fontId="1" fillId="2" borderId="35" xfId="0" applyNumberFormat="1" applyFont="1" applyFill="1" applyBorder="1" applyAlignment="1" applyProtection="1">
      <alignment/>
      <protection locked="0"/>
    </xf>
    <xf numFmtId="3" fontId="1" fillId="2" borderId="36" xfId="0" applyNumberFormat="1" applyFont="1" applyFill="1" applyBorder="1" applyAlignment="1" applyProtection="1">
      <alignment/>
      <protection locked="0"/>
    </xf>
    <xf numFmtId="0" fontId="1" fillId="2" borderId="37" xfId="0" applyFont="1" applyFill="1" applyBorder="1" applyAlignment="1" applyProtection="1">
      <alignment/>
      <protection locked="0"/>
    </xf>
    <xf numFmtId="0" fontId="1" fillId="2" borderId="26" xfId="0" applyFont="1" applyFill="1" applyBorder="1" applyAlignment="1" applyProtection="1">
      <alignment/>
      <protection locked="0"/>
    </xf>
    <xf numFmtId="3" fontId="1" fillId="2" borderId="1" xfId="0" applyNumberFormat="1" applyFont="1" applyFill="1" applyBorder="1" applyAlignment="1" applyProtection="1">
      <alignment/>
      <protection locked="0"/>
    </xf>
    <xf numFmtId="3" fontId="1" fillId="2" borderId="38" xfId="0" applyNumberFormat="1" applyFont="1" applyFill="1" applyBorder="1" applyAlignment="1" applyProtection="1">
      <alignment/>
      <protection locked="0"/>
    </xf>
    <xf numFmtId="3" fontId="1" fillId="2" borderId="39" xfId="0" applyNumberFormat="1" applyFont="1" applyFill="1" applyBorder="1" applyAlignment="1" applyProtection="1">
      <alignment/>
      <protection locked="0"/>
    </xf>
    <xf numFmtId="3" fontId="1" fillId="2" borderId="37" xfId="0" applyNumberFormat="1" applyFont="1" applyFill="1" applyBorder="1" applyAlignment="1" applyProtection="1">
      <alignment/>
      <protection locked="0"/>
    </xf>
    <xf numFmtId="3" fontId="1" fillId="2" borderId="40" xfId="0" applyNumberFormat="1" applyFont="1" applyFill="1" applyBorder="1" applyAlignment="1" applyProtection="1">
      <alignment/>
      <protection locked="0"/>
    </xf>
    <xf numFmtId="3" fontId="1" fillId="2" borderId="41" xfId="0" applyNumberFormat="1" applyFont="1" applyFill="1" applyBorder="1" applyAlignment="1" applyProtection="1">
      <alignment/>
      <protection locked="0"/>
    </xf>
    <xf numFmtId="3" fontId="1" fillId="2" borderId="26" xfId="0" applyNumberFormat="1" applyFont="1" applyFill="1" applyBorder="1" applyAlignment="1" applyProtection="1">
      <alignment/>
      <protection locked="0"/>
    </xf>
    <xf numFmtId="2" fontId="1" fillId="2" borderId="31" xfId="0" applyNumberFormat="1" applyFont="1" applyFill="1" applyBorder="1" applyAlignment="1" applyProtection="1">
      <alignment/>
      <protection locked="0"/>
    </xf>
    <xf numFmtId="2" fontId="1" fillId="2" borderId="32" xfId="0" applyNumberFormat="1" applyFont="1" applyFill="1" applyBorder="1" applyAlignment="1" applyProtection="1">
      <alignment/>
      <protection locked="0"/>
    </xf>
    <xf numFmtId="200" fontId="1" fillId="2" borderId="42" xfId="0" applyNumberFormat="1" applyFont="1" applyFill="1" applyBorder="1" applyAlignment="1" applyProtection="1">
      <alignment/>
      <protection locked="0"/>
    </xf>
    <xf numFmtId="200" fontId="1" fillId="2" borderId="32" xfId="0" applyNumberFormat="1" applyFont="1" applyFill="1" applyBorder="1" applyAlignment="1" applyProtection="1">
      <alignment/>
      <protection locked="0"/>
    </xf>
    <xf numFmtId="0" fontId="1" fillId="2" borderId="42" xfId="0" applyFont="1" applyFill="1" applyBorder="1" applyAlignment="1" applyProtection="1">
      <alignment/>
      <protection locked="0"/>
    </xf>
    <xf numFmtId="2" fontId="1" fillId="2" borderId="38" xfId="0" applyNumberFormat="1" applyFont="1" applyFill="1" applyBorder="1" applyAlignment="1" applyProtection="1">
      <alignment/>
      <protection locked="0"/>
    </xf>
    <xf numFmtId="2" fontId="1" fillId="2" borderId="39" xfId="0" applyNumberFormat="1" applyFont="1" applyFill="1" applyBorder="1" applyAlignment="1" applyProtection="1">
      <alignment/>
      <protection locked="0"/>
    </xf>
    <xf numFmtId="200" fontId="1" fillId="2" borderId="43" xfId="0" applyNumberFormat="1" applyFont="1" applyFill="1" applyBorder="1" applyAlignment="1" applyProtection="1">
      <alignment/>
      <protection locked="0"/>
    </xf>
    <xf numFmtId="200" fontId="1" fillId="2" borderId="39" xfId="0" applyNumberFormat="1" applyFont="1" applyFill="1" applyBorder="1" applyAlignment="1" applyProtection="1">
      <alignment/>
      <protection locked="0"/>
    </xf>
    <xf numFmtId="0" fontId="1" fillId="2" borderId="43" xfId="0" applyFont="1" applyFill="1" applyBorder="1" applyAlignment="1" applyProtection="1">
      <alignment/>
      <protection locked="0"/>
    </xf>
    <xf numFmtId="2" fontId="1" fillId="2" borderId="40" xfId="0" applyNumberFormat="1" applyFont="1" applyFill="1" applyBorder="1" applyAlignment="1" applyProtection="1">
      <alignment/>
      <protection locked="0"/>
    </xf>
    <xf numFmtId="2" fontId="1" fillId="2" borderId="41" xfId="0" applyNumberFormat="1" applyFont="1" applyFill="1" applyBorder="1" applyAlignment="1" applyProtection="1">
      <alignment/>
      <protection locked="0"/>
    </xf>
    <xf numFmtId="200" fontId="1" fillId="2" borderId="44" xfId="0" applyNumberFormat="1" applyFont="1" applyFill="1" applyBorder="1" applyAlignment="1" applyProtection="1">
      <alignment/>
      <protection locked="0"/>
    </xf>
    <xf numFmtId="200" fontId="1" fillId="2" borderId="41" xfId="0" applyNumberFormat="1" applyFont="1" applyFill="1" applyBorder="1" applyAlignment="1" applyProtection="1">
      <alignment/>
      <protection locked="0"/>
    </xf>
    <xf numFmtId="0" fontId="1" fillId="2" borderId="44" xfId="0" applyFont="1" applyFill="1" applyBorder="1" applyAlignment="1" applyProtection="1">
      <alignment/>
      <protection locked="0"/>
    </xf>
    <xf numFmtId="1" fontId="1" fillId="2" borderId="32" xfId="0" applyNumberFormat="1" applyFont="1" applyFill="1" applyBorder="1" applyAlignment="1" applyProtection="1">
      <alignment/>
      <protection locked="0"/>
    </xf>
    <xf numFmtId="200" fontId="1" fillId="2" borderId="31" xfId="0" applyNumberFormat="1" applyFont="1" applyFill="1" applyBorder="1" applyAlignment="1" applyProtection="1">
      <alignment/>
      <protection locked="0"/>
    </xf>
    <xf numFmtId="200" fontId="1" fillId="2" borderId="1" xfId="0" applyNumberFormat="1" applyFont="1" applyFill="1" applyBorder="1" applyAlignment="1" applyProtection="1">
      <alignment/>
      <protection locked="0"/>
    </xf>
    <xf numFmtId="1" fontId="1" fillId="2" borderId="39" xfId="0" applyNumberFormat="1" applyFont="1" applyFill="1" applyBorder="1" applyAlignment="1" applyProtection="1">
      <alignment/>
      <protection locked="0"/>
    </xf>
    <xf numFmtId="200" fontId="1" fillId="2" borderId="38" xfId="0" applyNumberFormat="1" applyFont="1" applyFill="1" applyBorder="1" applyAlignment="1" applyProtection="1">
      <alignment/>
      <protection locked="0"/>
    </xf>
    <xf numFmtId="200" fontId="1" fillId="2" borderId="37" xfId="0" applyNumberFormat="1" applyFont="1" applyFill="1" applyBorder="1" applyAlignment="1" applyProtection="1">
      <alignment/>
      <protection locked="0"/>
    </xf>
    <xf numFmtId="1" fontId="1" fillId="2" borderId="41" xfId="0" applyNumberFormat="1" applyFont="1" applyFill="1" applyBorder="1" applyAlignment="1" applyProtection="1">
      <alignment/>
      <protection locked="0"/>
    </xf>
    <xf numFmtId="200" fontId="1" fillId="2" borderId="40" xfId="0" applyNumberFormat="1" applyFont="1" applyFill="1" applyBorder="1" applyAlignment="1" applyProtection="1">
      <alignment/>
      <protection locked="0"/>
    </xf>
    <xf numFmtId="200" fontId="1" fillId="2" borderId="26" xfId="0" applyNumberFormat="1" applyFont="1" applyFill="1" applyBorder="1" applyAlignment="1" applyProtection="1">
      <alignment/>
      <protection locked="0"/>
    </xf>
    <xf numFmtId="0" fontId="2" fillId="3" borderId="24" xfId="0" applyFont="1" applyFill="1" applyBorder="1" applyAlignment="1">
      <alignment/>
    </xf>
    <xf numFmtId="0" fontId="0" fillId="3" borderId="3" xfId="0" applyFill="1" applyBorder="1" applyAlignment="1">
      <alignment/>
    </xf>
    <xf numFmtId="0" fontId="0" fillId="3" borderId="4" xfId="0" applyFill="1" applyBorder="1" applyAlignment="1">
      <alignment/>
    </xf>
    <xf numFmtId="0" fontId="0" fillId="3" borderId="3" xfId="0" applyFill="1" applyBorder="1" applyAlignment="1">
      <alignment horizontal="center"/>
    </xf>
    <xf numFmtId="0" fontId="22" fillId="0" borderId="0" xfId="0" applyFont="1" applyAlignment="1" applyProtection="1">
      <alignment/>
      <protection locked="0"/>
    </xf>
    <xf numFmtId="9" fontId="1" fillId="0" borderId="2" xfId="0" applyNumberFormat="1" applyFont="1" applyFill="1" applyBorder="1" applyAlignment="1" applyProtection="1">
      <alignment horizontal="right"/>
      <protection hidden="1"/>
    </xf>
    <xf numFmtId="9" fontId="0" fillId="0" borderId="0" xfId="0" applyNumberFormat="1" applyBorder="1" applyAlignment="1" applyProtection="1">
      <alignment horizontal="right"/>
      <protection hidden="1"/>
    </xf>
    <xf numFmtId="9" fontId="5" fillId="0" borderId="2" xfId="0" applyNumberFormat="1" applyFont="1" applyBorder="1" applyAlignment="1" applyProtection="1">
      <alignment horizontal="right"/>
      <protection hidden="1"/>
    </xf>
    <xf numFmtId="0" fontId="0" fillId="0" borderId="0" xfId="0" applyAlignment="1" applyProtection="1">
      <alignment/>
      <protection hidden="1"/>
    </xf>
    <xf numFmtId="0" fontId="2" fillId="0" borderId="0" xfId="0" applyFont="1" applyAlignment="1" applyProtection="1">
      <alignment horizontal="right"/>
      <protection hidden="1"/>
    </xf>
    <xf numFmtId="49" fontId="13" fillId="0" borderId="24" xfId="0" applyNumberFormat="1" applyFont="1" applyBorder="1" applyAlignment="1" applyProtection="1">
      <alignment/>
      <protection hidden="1"/>
    </xf>
    <xf numFmtId="0" fontId="3" fillId="0" borderId="3" xfId="0" applyFont="1" applyBorder="1" applyAlignment="1" applyProtection="1">
      <alignment/>
      <protection hidden="1"/>
    </xf>
    <xf numFmtId="0" fontId="0" fillId="0" borderId="3" xfId="0" applyBorder="1" applyAlignment="1" applyProtection="1">
      <alignment/>
      <protection hidden="1"/>
    </xf>
    <xf numFmtId="1" fontId="13" fillId="0" borderId="23" xfId="0" applyNumberFormat="1" applyFont="1" applyBorder="1" applyAlignment="1" applyProtection="1">
      <alignment/>
      <protection hidden="1"/>
    </xf>
    <xf numFmtId="0" fontId="5" fillId="0" borderId="45" xfId="0" applyFont="1" applyBorder="1" applyAlignment="1" applyProtection="1">
      <alignment horizontal="right"/>
      <protection hidden="1"/>
    </xf>
    <xf numFmtId="0" fontId="0" fillId="0" borderId="5" xfId="0" applyBorder="1" applyAlignment="1" applyProtection="1">
      <alignment/>
      <protection hidden="1"/>
    </xf>
    <xf numFmtId="0" fontId="0" fillId="0" borderId="0" xfId="0" applyBorder="1" applyAlignment="1" applyProtection="1">
      <alignment/>
      <protection hidden="1"/>
    </xf>
    <xf numFmtId="0" fontId="0" fillId="0" borderId="46" xfId="0" applyBorder="1" applyAlignment="1" applyProtection="1">
      <alignment/>
      <protection hidden="1"/>
    </xf>
    <xf numFmtId="3" fontId="1" fillId="0" borderId="0" xfId="0" applyNumberFormat="1" applyFont="1" applyBorder="1" applyAlignment="1" applyProtection="1">
      <alignment/>
      <protection hidden="1"/>
    </xf>
    <xf numFmtId="3" fontId="1" fillId="0" borderId="46" xfId="0" applyNumberFormat="1" applyFont="1" applyBorder="1" applyAlignment="1" applyProtection="1">
      <alignment/>
      <protection hidden="1"/>
    </xf>
    <xf numFmtId="3" fontId="1" fillId="0" borderId="0" xfId="0" applyNumberFormat="1" applyFont="1" applyAlignment="1" applyProtection="1">
      <alignment/>
      <protection hidden="1"/>
    </xf>
    <xf numFmtId="0" fontId="1" fillId="0" borderId="5" xfId="0" applyFont="1" applyBorder="1" applyAlignment="1" applyProtection="1">
      <alignment horizontal="right"/>
      <protection hidden="1"/>
    </xf>
    <xf numFmtId="3" fontId="1" fillId="0" borderId="47" xfId="0" applyNumberFormat="1" applyFont="1" applyBorder="1" applyAlignment="1" applyProtection="1">
      <alignment/>
      <protection hidden="1"/>
    </xf>
    <xf numFmtId="3" fontId="1" fillId="0" borderId="48" xfId="0" applyNumberFormat="1" applyFont="1" applyBorder="1" applyAlignment="1" applyProtection="1">
      <alignment/>
      <protection hidden="1"/>
    </xf>
    <xf numFmtId="0" fontId="10" fillId="0" borderId="0" xfId="0" applyFont="1" applyBorder="1" applyAlignment="1" applyProtection="1">
      <alignment/>
      <protection hidden="1"/>
    </xf>
    <xf numFmtId="3" fontId="1" fillId="0" borderId="0" xfId="0" applyNumberFormat="1" applyFont="1" applyFill="1" applyBorder="1" applyAlignment="1" applyProtection="1">
      <alignment/>
      <protection hidden="1"/>
    </xf>
    <xf numFmtId="3" fontId="1" fillId="0" borderId="46" xfId="0" applyNumberFormat="1" applyFont="1" applyFill="1" applyBorder="1" applyAlignment="1" applyProtection="1">
      <alignment/>
      <protection hidden="1"/>
    </xf>
    <xf numFmtId="0" fontId="0" fillId="0" borderId="0" xfId="0" applyFont="1" applyBorder="1" applyAlignment="1" applyProtection="1">
      <alignment/>
      <protection hidden="1"/>
    </xf>
    <xf numFmtId="0" fontId="2" fillId="0" borderId="0" xfId="0" applyFont="1" applyBorder="1" applyAlignment="1" applyProtection="1">
      <alignment/>
      <protection hidden="1"/>
    </xf>
    <xf numFmtId="1" fontId="6" fillId="0" borderId="0" xfId="0" applyNumberFormat="1" applyFont="1" applyBorder="1" applyAlignment="1" applyProtection="1">
      <alignment/>
      <protection hidden="1"/>
    </xf>
    <xf numFmtId="1" fontId="6" fillId="0" borderId="46" xfId="0" applyNumberFormat="1" applyFont="1" applyBorder="1" applyAlignment="1" applyProtection="1">
      <alignment/>
      <protection hidden="1"/>
    </xf>
    <xf numFmtId="3" fontId="5" fillId="3" borderId="49" xfId="0" applyNumberFormat="1" applyFont="1" applyFill="1" applyBorder="1" applyAlignment="1" applyProtection="1">
      <alignment/>
      <protection hidden="1"/>
    </xf>
    <xf numFmtId="3" fontId="5" fillId="3" borderId="50" xfId="0" applyNumberFormat="1" applyFont="1" applyFill="1" applyBorder="1" applyAlignment="1" applyProtection="1">
      <alignment/>
      <protection hidden="1"/>
    </xf>
    <xf numFmtId="0" fontId="1" fillId="0" borderId="7" xfId="0" applyFont="1" applyBorder="1" applyAlignment="1" applyProtection="1">
      <alignment horizontal="right"/>
      <protection hidden="1"/>
    </xf>
    <xf numFmtId="0" fontId="2" fillId="0" borderId="8" xfId="0" applyFont="1" applyBorder="1" applyAlignment="1" applyProtection="1">
      <alignment/>
      <protection hidden="1"/>
    </xf>
    <xf numFmtId="3" fontId="5" fillId="0" borderId="8" xfId="0" applyNumberFormat="1" applyFont="1" applyBorder="1" applyAlignment="1" applyProtection="1">
      <alignment/>
      <protection hidden="1"/>
    </xf>
    <xf numFmtId="3" fontId="5" fillId="0" borderId="9" xfId="0" applyNumberFormat="1" applyFont="1" applyBorder="1" applyAlignment="1" applyProtection="1">
      <alignment/>
      <protection hidden="1"/>
    </xf>
    <xf numFmtId="0" fontId="1" fillId="0" borderId="0" xfId="0" applyFont="1" applyAlignment="1" applyProtection="1">
      <alignment horizontal="right"/>
      <protection hidden="1"/>
    </xf>
    <xf numFmtId="49" fontId="13" fillId="0" borderId="24" xfId="0" applyNumberFormat="1" applyFont="1" applyBorder="1" applyAlignment="1" applyProtection="1">
      <alignment horizontal="center"/>
      <protection hidden="1"/>
    </xf>
    <xf numFmtId="0" fontId="5" fillId="0" borderId="51" xfId="0" applyFont="1" applyBorder="1" applyAlignment="1" applyProtection="1">
      <alignment horizontal="right"/>
      <protection hidden="1"/>
    </xf>
    <xf numFmtId="3" fontId="7" fillId="0" borderId="3" xfId="0" applyNumberFormat="1" applyFont="1" applyBorder="1" applyAlignment="1" applyProtection="1">
      <alignment horizontal="left"/>
      <protection hidden="1"/>
    </xf>
    <xf numFmtId="0" fontId="0" fillId="0" borderId="4" xfId="0" applyBorder="1" applyAlignment="1" applyProtection="1">
      <alignment/>
      <protection hidden="1"/>
    </xf>
    <xf numFmtId="3" fontId="1" fillId="0" borderId="5" xfId="0" applyNumberFormat="1" applyFont="1" applyBorder="1" applyAlignment="1" applyProtection="1">
      <alignment/>
      <protection hidden="1"/>
    </xf>
    <xf numFmtId="0" fontId="0" fillId="0" borderId="6" xfId="0" applyBorder="1" applyAlignment="1" applyProtection="1">
      <alignment/>
      <protection hidden="1"/>
    </xf>
    <xf numFmtId="3" fontId="1" fillId="0" borderId="52" xfId="0" applyNumberFormat="1" applyFont="1" applyBorder="1" applyAlignment="1" applyProtection="1">
      <alignment/>
      <protection hidden="1"/>
    </xf>
    <xf numFmtId="3" fontId="5" fillId="3" borderId="53" xfId="0" applyNumberFormat="1" applyFont="1" applyFill="1" applyBorder="1" applyAlignment="1" applyProtection="1">
      <alignment/>
      <protection hidden="1"/>
    </xf>
    <xf numFmtId="3" fontId="5" fillId="3" borderId="2" xfId="0" applyNumberFormat="1" applyFont="1" applyFill="1" applyBorder="1" applyAlignment="1" applyProtection="1">
      <alignment/>
      <protection hidden="1"/>
    </xf>
    <xf numFmtId="3" fontId="5" fillId="0" borderId="0" xfId="0" applyNumberFormat="1" applyFont="1" applyBorder="1" applyAlignment="1" applyProtection="1">
      <alignment/>
      <protection hidden="1"/>
    </xf>
    <xf numFmtId="0" fontId="0" fillId="0" borderId="8" xfId="0" applyBorder="1" applyAlignment="1" applyProtection="1">
      <alignment/>
      <protection hidden="1"/>
    </xf>
    <xf numFmtId="3" fontId="1" fillId="0" borderId="8" xfId="0" applyNumberFormat="1" applyFont="1" applyBorder="1" applyAlignment="1" applyProtection="1">
      <alignment/>
      <protection hidden="1"/>
    </xf>
    <xf numFmtId="0" fontId="0" fillId="0" borderId="9" xfId="0" applyBorder="1" applyAlignment="1" applyProtection="1">
      <alignment/>
      <protection hidden="1"/>
    </xf>
    <xf numFmtId="3" fontId="12" fillId="0" borderId="0" xfId="0" applyNumberFormat="1" applyFont="1" applyBorder="1" applyAlignment="1" applyProtection="1">
      <alignment/>
      <protection hidden="1"/>
    </xf>
    <xf numFmtId="3" fontId="12" fillId="0" borderId="5" xfId="0" applyNumberFormat="1" applyFont="1" applyBorder="1" applyAlignment="1" applyProtection="1">
      <alignment/>
      <protection hidden="1"/>
    </xf>
    <xf numFmtId="0" fontId="5" fillId="0" borderId="0" xfId="0" applyFont="1" applyAlignment="1" applyProtection="1">
      <alignment horizontal="right"/>
      <protection hidden="1"/>
    </xf>
    <xf numFmtId="0" fontId="0" fillId="0" borderId="24" xfId="0" applyBorder="1" applyAlignment="1" applyProtection="1">
      <alignment/>
      <protection hidden="1"/>
    </xf>
    <xf numFmtId="3" fontId="1" fillId="0" borderId="3" xfId="0" applyNumberFormat="1" applyFont="1" applyBorder="1" applyAlignment="1" applyProtection="1">
      <alignment/>
      <protection hidden="1"/>
    </xf>
    <xf numFmtId="0" fontId="1" fillId="0" borderId="3" xfId="0" applyFont="1" applyBorder="1" applyAlignment="1" applyProtection="1">
      <alignment/>
      <protection hidden="1"/>
    </xf>
    <xf numFmtId="0" fontId="1" fillId="0" borderId="0" xfId="0" applyFont="1" applyBorder="1" applyAlignment="1" applyProtection="1">
      <alignment/>
      <protection hidden="1"/>
    </xf>
    <xf numFmtId="3" fontId="8" fillId="0" borderId="0" xfId="0" applyNumberFormat="1" applyFont="1" applyBorder="1" applyAlignment="1" applyProtection="1">
      <alignment/>
      <protection hidden="1"/>
    </xf>
    <xf numFmtId="0" fontId="7" fillId="0" borderId="0" xfId="0" applyFont="1" applyBorder="1" applyAlignment="1" applyProtection="1">
      <alignment horizontal="right"/>
      <protection hidden="1"/>
    </xf>
    <xf numFmtId="0" fontId="1" fillId="0" borderId="0" xfId="0" applyNumberFormat="1" applyFont="1" applyBorder="1" applyAlignment="1" applyProtection="1">
      <alignment/>
      <protection hidden="1"/>
    </xf>
    <xf numFmtId="3" fontId="1" fillId="0" borderId="54" xfId="0" applyNumberFormat="1" applyFont="1" applyBorder="1" applyAlignment="1" applyProtection="1">
      <alignment/>
      <protection hidden="1"/>
    </xf>
    <xf numFmtId="9" fontId="0" fillId="0" borderId="6" xfId="0" applyNumberFormat="1" applyBorder="1" applyAlignment="1" applyProtection="1">
      <alignment/>
      <protection hidden="1"/>
    </xf>
    <xf numFmtId="3" fontId="1" fillId="0" borderId="55" xfId="0" applyNumberFormat="1" applyFont="1" applyBorder="1" applyAlignment="1" applyProtection="1">
      <alignment/>
      <protection hidden="1"/>
    </xf>
    <xf numFmtId="3" fontId="1" fillId="0" borderId="56" xfId="0" applyNumberFormat="1" applyFont="1" applyBorder="1" applyAlignment="1" applyProtection="1">
      <alignment/>
      <protection hidden="1"/>
    </xf>
    <xf numFmtId="9" fontId="0" fillId="0" borderId="6" xfId="21" applyBorder="1" applyAlignment="1" applyProtection="1">
      <alignment/>
      <protection hidden="1"/>
    </xf>
    <xf numFmtId="9" fontId="0" fillId="0" borderId="0" xfId="21" applyBorder="1" applyAlignment="1" applyProtection="1">
      <alignment/>
      <protection hidden="1"/>
    </xf>
    <xf numFmtId="0" fontId="5" fillId="0" borderId="0" xfId="0" applyFont="1" applyBorder="1" applyAlignment="1" applyProtection="1">
      <alignment/>
      <protection hidden="1"/>
    </xf>
    <xf numFmtId="3" fontId="1" fillId="0" borderId="49" xfId="0" applyNumberFormat="1" applyFont="1" applyBorder="1" applyAlignment="1" applyProtection="1">
      <alignment/>
      <protection hidden="1"/>
    </xf>
    <xf numFmtId="3" fontId="1" fillId="0" borderId="57" xfId="0" applyNumberFormat="1" applyFont="1" applyBorder="1" applyAlignment="1" applyProtection="1">
      <alignment/>
      <protection hidden="1"/>
    </xf>
    <xf numFmtId="3" fontId="1" fillId="0" borderId="6" xfId="0" applyNumberFormat="1" applyFont="1" applyBorder="1" applyAlignment="1" applyProtection="1">
      <alignment/>
      <protection hidden="1"/>
    </xf>
    <xf numFmtId="0" fontId="0" fillId="0" borderId="7" xfId="0" applyBorder="1" applyAlignment="1" applyProtection="1">
      <alignment/>
      <protection hidden="1"/>
    </xf>
    <xf numFmtId="0" fontId="1" fillId="0" borderId="8" xfId="0" applyFont="1" applyBorder="1" applyAlignment="1" applyProtection="1">
      <alignment/>
      <protection hidden="1"/>
    </xf>
    <xf numFmtId="0" fontId="1" fillId="0" borderId="0" xfId="0" applyFont="1" applyAlignment="1" applyProtection="1">
      <alignment/>
      <protection hidden="1"/>
    </xf>
    <xf numFmtId="0" fontId="7" fillId="0" borderId="54" xfId="0" applyFont="1" applyBorder="1" applyAlignment="1" applyProtection="1">
      <alignment horizontal="right"/>
      <protection hidden="1"/>
    </xf>
    <xf numFmtId="0" fontId="1" fillId="0" borderId="54" xfId="0" applyFont="1" applyBorder="1" applyAlignment="1" applyProtection="1">
      <alignment/>
      <protection hidden="1"/>
    </xf>
    <xf numFmtId="0" fontId="1" fillId="0" borderId="55" xfId="0" applyFont="1" applyBorder="1" applyAlignment="1" applyProtection="1">
      <alignment/>
      <protection hidden="1"/>
    </xf>
    <xf numFmtId="0" fontId="1" fillId="0" borderId="56" xfId="0" applyFont="1" applyBorder="1" applyAlignment="1" applyProtection="1">
      <alignment/>
      <protection hidden="1"/>
    </xf>
    <xf numFmtId="202" fontId="1" fillId="0" borderId="54" xfId="0" applyNumberFormat="1" applyFont="1" applyBorder="1" applyAlignment="1" applyProtection="1">
      <alignment/>
      <protection hidden="1"/>
    </xf>
    <xf numFmtId="3" fontId="7" fillId="0" borderId="0" xfId="0" applyNumberFormat="1" applyFont="1" applyBorder="1" applyAlignment="1" applyProtection="1">
      <alignment horizontal="right"/>
      <protection hidden="1"/>
    </xf>
    <xf numFmtId="3" fontId="1" fillId="0" borderId="58" xfId="0" applyNumberFormat="1" applyFont="1" applyBorder="1" applyAlignment="1" applyProtection="1">
      <alignment/>
      <protection hidden="1"/>
    </xf>
    <xf numFmtId="0" fontId="1" fillId="0" borderId="0" xfId="0" applyFont="1" applyBorder="1" applyAlignment="1" applyProtection="1">
      <alignment horizontal="right"/>
      <protection hidden="1"/>
    </xf>
    <xf numFmtId="0" fontId="1" fillId="0" borderId="8" xfId="0" applyFont="1" applyBorder="1" applyAlignment="1" applyProtection="1">
      <alignment horizontal="right"/>
      <protection hidden="1"/>
    </xf>
    <xf numFmtId="0" fontId="3" fillId="0" borderId="3" xfId="0" applyFont="1" applyBorder="1" applyAlignment="1" applyProtection="1">
      <alignment horizontal="left"/>
      <protection hidden="1"/>
    </xf>
    <xf numFmtId="0" fontId="1" fillId="0" borderId="0" xfId="0" applyFont="1" applyBorder="1" applyAlignment="1" applyProtection="1">
      <alignment horizontal="left"/>
      <protection hidden="1"/>
    </xf>
    <xf numFmtId="10" fontId="1" fillId="0" borderId="0" xfId="0" applyNumberFormat="1" applyFont="1" applyBorder="1" applyAlignment="1" applyProtection="1">
      <alignment/>
      <protection hidden="1"/>
    </xf>
    <xf numFmtId="10" fontId="1" fillId="0" borderId="54" xfId="0" applyNumberFormat="1" applyFont="1" applyBorder="1" applyAlignment="1" applyProtection="1">
      <alignment/>
      <protection hidden="1"/>
    </xf>
    <xf numFmtId="2" fontId="1" fillId="0" borderId="0" xfId="0" applyNumberFormat="1" applyFont="1" applyBorder="1" applyAlignment="1" applyProtection="1">
      <alignment/>
      <protection hidden="1"/>
    </xf>
    <xf numFmtId="204" fontId="1" fillId="0" borderId="0" xfId="0" applyNumberFormat="1" applyFont="1" applyBorder="1" applyAlignment="1" applyProtection="1">
      <alignment/>
      <protection hidden="1"/>
    </xf>
    <xf numFmtId="204" fontId="1" fillId="0" borderId="54" xfId="0" applyNumberFormat="1" applyFont="1" applyBorder="1" applyAlignment="1" applyProtection="1">
      <alignment/>
      <protection hidden="1"/>
    </xf>
    <xf numFmtId="204" fontId="1" fillId="0" borderId="8" xfId="0" applyNumberFormat="1" applyFont="1" applyBorder="1" applyAlignment="1" applyProtection="1">
      <alignment/>
      <protection hidden="1"/>
    </xf>
    <xf numFmtId="2" fontId="1" fillId="0" borderId="0" xfId="0" applyNumberFormat="1" applyFont="1" applyAlignment="1" applyProtection="1">
      <alignment/>
      <protection hidden="1"/>
    </xf>
    <xf numFmtId="1" fontId="6" fillId="0" borderId="3" xfId="0" applyNumberFormat="1" applyFont="1" applyBorder="1" applyAlignment="1" applyProtection="1">
      <alignment/>
      <protection hidden="1"/>
    </xf>
    <xf numFmtId="0" fontId="1" fillId="0" borderId="47" xfId="0" applyFont="1" applyBorder="1" applyAlignment="1" applyProtection="1">
      <alignment/>
      <protection hidden="1"/>
    </xf>
    <xf numFmtId="3" fontId="1" fillId="0" borderId="36" xfId="0" applyNumberFormat="1" applyFont="1" applyBorder="1" applyAlignment="1" applyProtection="1">
      <alignment/>
      <protection hidden="1"/>
    </xf>
    <xf numFmtId="1" fontId="1" fillId="0" borderId="49" xfId="0" applyNumberFormat="1" applyFont="1" applyBorder="1" applyAlignment="1" applyProtection="1">
      <alignment/>
      <protection hidden="1"/>
    </xf>
    <xf numFmtId="1" fontId="1" fillId="0" borderId="57" xfId="0" applyNumberFormat="1" applyFont="1" applyBorder="1" applyAlignment="1" applyProtection="1">
      <alignment/>
      <protection hidden="1"/>
    </xf>
    <xf numFmtId="1" fontId="1" fillId="0" borderId="47" xfId="0" applyNumberFormat="1" applyFont="1" applyBorder="1" applyAlignment="1" applyProtection="1">
      <alignment/>
      <protection hidden="1"/>
    </xf>
    <xf numFmtId="1" fontId="1" fillId="0" borderId="36" xfId="0" applyNumberFormat="1" applyFont="1" applyBorder="1" applyAlignment="1" applyProtection="1">
      <alignment/>
      <protection hidden="1"/>
    </xf>
    <xf numFmtId="1" fontId="1" fillId="0" borderId="0" xfId="0" applyNumberFormat="1" applyFont="1" applyBorder="1" applyAlignment="1" applyProtection="1">
      <alignment/>
      <protection hidden="1"/>
    </xf>
    <xf numFmtId="9" fontId="0" fillId="0" borderId="6" xfId="21" applyBorder="1" applyAlignment="1" applyProtection="1">
      <alignment/>
      <protection hidden="1"/>
    </xf>
    <xf numFmtId="9" fontId="0" fillId="0" borderId="0" xfId="21" applyBorder="1" applyAlignment="1" applyProtection="1">
      <alignment/>
      <protection hidden="1"/>
    </xf>
    <xf numFmtId="3" fontId="1" fillId="0" borderId="59" xfId="0" applyNumberFormat="1" applyFont="1" applyBorder="1" applyAlignment="1" applyProtection="1">
      <alignment/>
      <protection hidden="1"/>
    </xf>
    <xf numFmtId="1" fontId="13" fillId="0" borderId="24" xfId="0" applyNumberFormat="1" applyFont="1" applyBorder="1" applyAlignment="1" applyProtection="1">
      <alignment/>
      <protection hidden="1"/>
    </xf>
    <xf numFmtId="200" fontId="25" fillId="0" borderId="0" xfId="0" applyNumberFormat="1" applyFont="1" applyBorder="1" applyAlignment="1" applyProtection="1">
      <alignment horizontal="center"/>
      <protection hidden="1"/>
    </xf>
    <xf numFmtId="3" fontId="5" fillId="3" borderId="60" xfId="0" applyNumberFormat="1" applyFont="1" applyFill="1" applyBorder="1" applyAlignment="1" applyProtection="1">
      <alignment/>
      <protection hidden="1"/>
    </xf>
    <xf numFmtId="0" fontId="10" fillId="0" borderId="20" xfId="0" applyFont="1" applyBorder="1" applyAlignment="1" applyProtection="1">
      <alignment horizontal="right"/>
      <protection hidden="1"/>
    </xf>
    <xf numFmtId="0" fontId="10" fillId="0" borderId="61" xfId="0" applyFont="1" applyBorder="1" applyAlignment="1" applyProtection="1">
      <alignment/>
      <protection hidden="1"/>
    </xf>
    <xf numFmtId="0" fontId="0" fillId="0" borderId="62" xfId="0" applyBorder="1" applyAlignment="1" applyProtection="1">
      <alignment/>
      <protection hidden="1"/>
    </xf>
    <xf numFmtId="0" fontId="0" fillId="0" borderId="63" xfId="0" applyBorder="1" applyAlignment="1" applyProtection="1">
      <alignment/>
      <protection hidden="1"/>
    </xf>
    <xf numFmtId="0" fontId="0" fillId="0" borderId="64" xfId="0" applyBorder="1" applyAlignment="1" applyProtection="1">
      <alignment/>
      <protection hidden="1"/>
    </xf>
    <xf numFmtId="0" fontId="1" fillId="0" borderId="65" xfId="0" applyFont="1" applyBorder="1" applyAlignment="1" applyProtection="1">
      <alignment horizontal="right"/>
      <protection hidden="1"/>
    </xf>
    <xf numFmtId="0" fontId="0" fillId="0" borderId="66" xfId="0" applyBorder="1" applyAlignment="1" applyProtection="1">
      <alignment/>
      <protection hidden="1"/>
    </xf>
    <xf numFmtId="200" fontId="24" fillId="0" borderId="67" xfId="21" applyNumberFormat="1" applyFont="1" applyBorder="1" applyAlignment="1" applyProtection="1">
      <alignment/>
      <protection hidden="1"/>
    </xf>
    <xf numFmtId="10" fontId="24" fillId="0" borderId="67" xfId="0" applyNumberFormat="1" applyFont="1" applyBorder="1" applyAlignment="1" applyProtection="1">
      <alignment/>
      <protection hidden="1"/>
    </xf>
    <xf numFmtId="0" fontId="24" fillId="0" borderId="13" xfId="0" applyFont="1" applyBorder="1" applyAlignment="1" applyProtection="1">
      <alignment/>
      <protection hidden="1"/>
    </xf>
    <xf numFmtId="0" fontId="0" fillId="0" borderId="14" xfId="0" applyBorder="1" applyAlignment="1" applyProtection="1">
      <alignment/>
      <protection hidden="1"/>
    </xf>
    <xf numFmtId="10" fontId="24" fillId="0" borderId="67" xfId="21" applyNumberFormat="1" applyFont="1" applyBorder="1" applyAlignment="1" applyProtection="1">
      <alignment/>
      <protection hidden="1"/>
    </xf>
    <xf numFmtId="0" fontId="24" fillId="0" borderId="64" xfId="0" applyFont="1" applyBorder="1" applyAlignment="1" applyProtection="1">
      <alignment/>
      <protection hidden="1"/>
    </xf>
    <xf numFmtId="0" fontId="24" fillId="0" borderId="65" xfId="0" applyFont="1" applyBorder="1" applyAlignment="1" applyProtection="1">
      <alignment/>
      <protection hidden="1"/>
    </xf>
    <xf numFmtId="10" fontId="24" fillId="0" borderId="13" xfId="21" applyNumberFormat="1" applyFont="1" applyBorder="1" applyAlignment="1" applyProtection="1">
      <alignment/>
      <protection hidden="1"/>
    </xf>
    <xf numFmtId="0" fontId="0" fillId="0" borderId="17" xfId="0" applyBorder="1" applyAlignment="1" applyProtection="1">
      <alignment/>
      <protection hidden="1"/>
    </xf>
    <xf numFmtId="0" fontId="0" fillId="0" borderId="68" xfId="0" applyBorder="1" applyAlignment="1" applyProtection="1">
      <alignment/>
      <protection hidden="1"/>
    </xf>
    <xf numFmtId="0" fontId="1" fillId="0" borderId="69" xfId="0" applyFont="1" applyBorder="1" applyAlignment="1" applyProtection="1">
      <alignment horizontal="right"/>
      <protection hidden="1"/>
    </xf>
    <xf numFmtId="0" fontId="0" fillId="0" borderId="70" xfId="0" applyBorder="1" applyAlignment="1" applyProtection="1">
      <alignment/>
      <protection hidden="1"/>
    </xf>
    <xf numFmtId="3" fontId="24" fillId="0" borderId="71" xfId="0" applyNumberFormat="1" applyFont="1" applyBorder="1" applyAlignment="1" applyProtection="1">
      <alignment/>
      <protection hidden="1"/>
    </xf>
    <xf numFmtId="10" fontId="24" fillId="0" borderId="71" xfId="21" applyNumberFormat="1" applyFont="1" applyBorder="1" applyAlignment="1" applyProtection="1">
      <alignment/>
      <protection hidden="1"/>
    </xf>
    <xf numFmtId="0" fontId="24" fillId="0" borderId="68" xfId="0" applyFont="1" applyBorder="1" applyAlignment="1" applyProtection="1">
      <alignment/>
      <protection hidden="1"/>
    </xf>
    <xf numFmtId="0" fontId="0" fillId="0" borderId="69" xfId="0" applyBorder="1" applyAlignment="1" applyProtection="1">
      <alignment/>
      <protection hidden="1"/>
    </xf>
    <xf numFmtId="0" fontId="24" fillId="0" borderId="69" xfId="0" applyFont="1" applyBorder="1" applyAlignment="1" applyProtection="1">
      <alignment/>
      <protection hidden="1"/>
    </xf>
    <xf numFmtId="10" fontId="24" fillId="0" borderId="68" xfId="21" applyNumberFormat="1" applyFont="1" applyBorder="1" applyAlignment="1" applyProtection="1">
      <alignment/>
      <protection hidden="1"/>
    </xf>
    <xf numFmtId="2" fontId="24" fillId="0" borderId="71" xfId="0" applyNumberFormat="1" applyFont="1" applyBorder="1" applyAlignment="1" applyProtection="1">
      <alignment/>
      <protection hidden="1"/>
    </xf>
    <xf numFmtId="0" fontId="24" fillId="0" borderId="72" xfId="0" applyFont="1" applyBorder="1" applyAlignment="1" applyProtection="1">
      <alignment/>
      <protection hidden="1"/>
    </xf>
    <xf numFmtId="0" fontId="24" fillId="0" borderId="73" xfId="0" applyFont="1" applyBorder="1" applyAlignment="1" applyProtection="1">
      <alignment/>
      <protection hidden="1"/>
    </xf>
    <xf numFmtId="10" fontId="24" fillId="0" borderId="72" xfId="21" applyNumberFormat="1" applyFont="1" applyBorder="1" applyAlignment="1" applyProtection="1">
      <alignment/>
      <protection hidden="1"/>
    </xf>
    <xf numFmtId="0" fontId="0" fillId="0" borderId="74" xfId="0" applyBorder="1" applyAlignment="1" applyProtection="1">
      <alignment/>
      <protection hidden="1"/>
    </xf>
    <xf numFmtId="3" fontId="24" fillId="0" borderId="71" xfId="0" applyNumberFormat="1" applyFont="1" applyBorder="1" applyAlignment="1" applyProtection="1">
      <alignment horizontal="right"/>
      <protection hidden="1"/>
    </xf>
    <xf numFmtId="10" fontId="24" fillId="0" borderId="71" xfId="0" applyNumberFormat="1" applyFont="1" applyBorder="1" applyAlignment="1" applyProtection="1">
      <alignment/>
      <protection hidden="1"/>
    </xf>
    <xf numFmtId="0" fontId="0" fillId="0" borderId="72" xfId="0" applyBorder="1" applyAlignment="1" applyProtection="1">
      <alignment/>
      <protection hidden="1"/>
    </xf>
    <xf numFmtId="0" fontId="1" fillId="0" borderId="73" xfId="0" applyFont="1" applyBorder="1" applyAlignment="1" applyProtection="1">
      <alignment horizontal="right"/>
      <protection hidden="1"/>
    </xf>
    <xf numFmtId="3" fontId="24" fillId="0" borderId="75" xfId="0" applyNumberFormat="1" applyFont="1" applyBorder="1" applyAlignment="1" applyProtection="1">
      <alignment/>
      <protection hidden="1"/>
    </xf>
    <xf numFmtId="10" fontId="24" fillId="0" borderId="75" xfId="21" applyNumberFormat="1" applyFont="1" applyBorder="1" applyAlignment="1" applyProtection="1">
      <alignment/>
      <protection hidden="1"/>
    </xf>
    <xf numFmtId="0" fontId="2" fillId="0" borderId="8" xfId="0" applyFont="1" applyBorder="1" applyAlignment="1" applyProtection="1">
      <alignment horizontal="right"/>
      <protection hidden="1"/>
    </xf>
    <xf numFmtId="10" fontId="2" fillId="3" borderId="20" xfId="0" applyNumberFormat="1" applyFont="1" applyFill="1" applyBorder="1" applyAlignment="1" applyProtection="1">
      <alignment/>
      <protection hidden="1"/>
    </xf>
    <xf numFmtId="3" fontId="0" fillId="0" borderId="0" xfId="0" applyNumberFormat="1" applyAlignment="1" applyProtection="1">
      <alignment/>
      <protection hidden="1"/>
    </xf>
    <xf numFmtId="3" fontId="24" fillId="0" borderId="72" xfId="0" applyNumberFormat="1" applyFont="1" applyBorder="1" applyAlignment="1" applyProtection="1">
      <alignment/>
      <protection hidden="1"/>
    </xf>
    <xf numFmtId="3" fontId="0" fillId="0" borderId="73" xfId="0" applyNumberFormat="1" applyBorder="1" applyAlignment="1" applyProtection="1">
      <alignment/>
      <protection hidden="1"/>
    </xf>
    <xf numFmtId="3" fontId="0" fillId="0" borderId="8" xfId="0" applyNumberFormat="1" applyBorder="1" applyAlignment="1" applyProtection="1">
      <alignment/>
      <protection hidden="1"/>
    </xf>
    <xf numFmtId="0" fontId="0" fillId="0" borderId="61" xfId="0" applyBorder="1" applyAlignment="1" applyProtection="1">
      <alignment/>
      <protection hidden="1"/>
    </xf>
    <xf numFmtId="9" fontId="24" fillId="0" borderId="62" xfId="0" applyNumberFormat="1" applyFont="1" applyBorder="1" applyAlignment="1" applyProtection="1">
      <alignment horizontal="right"/>
      <protection hidden="1"/>
    </xf>
    <xf numFmtId="0" fontId="26" fillId="4" borderId="61" xfId="0" applyFont="1" applyFill="1" applyBorder="1" applyAlignment="1">
      <alignment horizontal="center"/>
    </xf>
    <xf numFmtId="0" fontId="26" fillId="4" borderId="62" xfId="0" applyFont="1" applyFill="1" applyBorder="1" applyAlignment="1">
      <alignment horizontal="center"/>
    </xf>
    <xf numFmtId="0" fontId="26" fillId="4" borderId="63" xfId="0" applyFont="1" applyFill="1" applyBorder="1" applyAlignment="1">
      <alignment horizontal="center"/>
    </xf>
    <xf numFmtId="0" fontId="19" fillId="4" borderId="61" xfId="0" applyFont="1" applyFill="1" applyBorder="1" applyAlignment="1" applyProtection="1">
      <alignment horizontal="center"/>
      <protection hidden="1"/>
    </xf>
    <xf numFmtId="0" fontId="19" fillId="4" borderId="62" xfId="0" applyFont="1" applyFill="1" applyBorder="1" applyAlignment="1" applyProtection="1">
      <alignment horizontal="center"/>
      <protection hidden="1"/>
    </xf>
    <xf numFmtId="0" fontId="19" fillId="4" borderId="63" xfId="0" applyFont="1" applyFill="1" applyBorder="1" applyAlignment="1" applyProtection="1">
      <alignment horizontal="center"/>
      <protection hidden="1"/>
    </xf>
    <xf numFmtId="0" fontId="1" fillId="2" borderId="76" xfId="0" applyFont="1" applyFill="1" applyBorder="1" applyAlignment="1" applyProtection="1">
      <alignment horizontal="center"/>
      <protection locked="0"/>
    </xf>
    <xf numFmtId="0" fontId="1" fillId="2" borderId="77" xfId="0" applyFont="1" applyFill="1" applyBorder="1" applyAlignment="1" applyProtection="1">
      <alignment horizontal="center"/>
      <protection locked="0"/>
    </xf>
    <xf numFmtId="0" fontId="1" fillId="2" borderId="78" xfId="0" applyFont="1" applyFill="1" applyBorder="1" applyAlignment="1" applyProtection="1">
      <alignment horizontal="center"/>
      <protection locked="0"/>
    </xf>
    <xf numFmtId="0" fontId="2" fillId="0" borderId="20" xfId="0" applyFont="1" applyBorder="1" applyAlignment="1">
      <alignment horizontal="center"/>
    </xf>
    <xf numFmtId="0" fontId="1" fillId="2" borderId="79" xfId="0" applyFont="1" applyFill="1" applyBorder="1" applyAlignment="1" applyProtection="1">
      <alignment horizontal="center"/>
      <protection locked="0"/>
    </xf>
    <xf numFmtId="0" fontId="1" fillId="2" borderId="80" xfId="0" applyFont="1" applyFill="1" applyBorder="1" applyAlignment="1" applyProtection="1">
      <alignment horizontal="center"/>
      <protection locked="0"/>
    </xf>
    <xf numFmtId="0" fontId="1" fillId="2" borderId="81" xfId="0" applyFont="1" applyFill="1" applyBorder="1" applyAlignment="1" applyProtection="1">
      <alignment horizontal="center"/>
      <protection locked="0"/>
    </xf>
    <xf numFmtId="0" fontId="1" fillId="2" borderId="82" xfId="0" applyFont="1" applyFill="1" applyBorder="1" applyAlignment="1" applyProtection="1">
      <alignment horizontal="center"/>
      <protection locked="0"/>
    </xf>
    <xf numFmtId="0" fontId="1" fillId="2" borderId="47" xfId="0" applyFont="1" applyFill="1" applyBorder="1" applyAlignment="1" applyProtection="1">
      <alignment horizontal="center"/>
      <protection locked="0"/>
    </xf>
    <xf numFmtId="0" fontId="1" fillId="2" borderId="83" xfId="0" applyFont="1" applyFill="1" applyBorder="1" applyAlignment="1" applyProtection="1">
      <alignment horizontal="center"/>
      <protection locked="0"/>
    </xf>
    <xf numFmtId="0" fontId="1" fillId="2" borderId="84" xfId="0" applyFont="1" applyFill="1" applyBorder="1" applyAlignment="1" applyProtection="1">
      <alignment horizontal="center"/>
      <protection locked="0"/>
    </xf>
    <xf numFmtId="0" fontId="1" fillId="2" borderId="85" xfId="0" applyFont="1" applyFill="1" applyBorder="1" applyAlignment="1" applyProtection="1">
      <alignment horizontal="center"/>
      <protection locked="0"/>
    </xf>
    <xf numFmtId="0" fontId="1" fillId="2" borderId="86" xfId="0" applyFont="1" applyFill="1" applyBorder="1" applyAlignment="1" applyProtection="1">
      <alignment horizontal="center"/>
      <protection locked="0"/>
    </xf>
    <xf numFmtId="0" fontId="2" fillId="0" borderId="2" xfId="0" applyFont="1" applyBorder="1" applyAlignment="1">
      <alignment horizontal="center"/>
    </xf>
    <xf numFmtId="0" fontId="20" fillId="4" borderId="61" xfId="0" applyFont="1" applyFill="1" applyBorder="1" applyAlignment="1" applyProtection="1">
      <alignment horizontal="center"/>
      <protection hidden="1"/>
    </xf>
    <xf numFmtId="0" fontId="20" fillId="4" borderId="62" xfId="0" applyFont="1" applyFill="1" applyBorder="1" applyAlignment="1" applyProtection="1">
      <alignment horizontal="center"/>
      <protection hidden="1"/>
    </xf>
    <xf numFmtId="0" fontId="20" fillId="4" borderId="63" xfId="0" applyFont="1" applyFill="1" applyBorder="1" applyAlignment="1" applyProtection="1">
      <alignment horizontal="center"/>
      <protection hidden="1"/>
    </xf>
    <xf numFmtId="0" fontId="20" fillId="4" borderId="24" xfId="0" applyFont="1" applyFill="1" applyBorder="1" applyAlignment="1" applyProtection="1">
      <alignment horizontal="center"/>
      <protection hidden="1"/>
    </xf>
    <xf numFmtId="0" fontId="20" fillId="4" borderId="3" xfId="0" applyFont="1" applyFill="1" applyBorder="1" applyAlignment="1" applyProtection="1">
      <alignment horizontal="center"/>
      <protection hidden="1"/>
    </xf>
    <xf numFmtId="0" fontId="20" fillId="4" borderId="4" xfId="0" applyFont="1" applyFill="1" applyBorder="1" applyAlignment="1" applyProtection="1">
      <alignment horizontal="center"/>
      <protection hidden="1"/>
    </xf>
    <xf numFmtId="0" fontId="26" fillId="4" borderId="61" xfId="0" applyFont="1" applyFill="1" applyBorder="1" applyAlignment="1" applyProtection="1">
      <alignment horizontal="center"/>
      <protection hidden="1"/>
    </xf>
    <xf numFmtId="0" fontId="26" fillId="4" borderId="62" xfId="0" applyFont="1" applyFill="1" applyBorder="1" applyAlignment="1" applyProtection="1">
      <alignment horizontal="center"/>
      <protection hidden="1"/>
    </xf>
    <xf numFmtId="0" fontId="26" fillId="4" borderId="63" xfId="0" applyFont="1" applyFill="1" applyBorder="1" applyAlignment="1" applyProtection="1">
      <alignment horizontal="center"/>
      <protection hidden="1"/>
    </xf>
  </cellXfs>
  <cellStyles count="8">
    <cellStyle name="Normal" xfId="0"/>
    <cellStyle name="Comma" xfId="15"/>
    <cellStyle name="Comma [0]" xfId="16"/>
    <cellStyle name="Comma [0]_Sheet2" xfId="17"/>
    <cellStyle name="Currency" xfId="18"/>
    <cellStyle name="Currency [0]" xfId="19"/>
    <cellStyle name="Normal_perpetuity"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EAEAEA"/>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875" b="1" i="0" u="none" baseline="0">
                <a:solidFill>
                  <a:srgbClr val="FFFFFF"/>
                </a:solidFill>
                <a:latin typeface="Arial"/>
                <a:ea typeface="Arial"/>
                <a:cs typeface="Arial"/>
              </a:rPr>
              <a:t>Annual Cash Flow</a:t>
            </a:r>
          </a:p>
        </c:rich>
      </c:tx>
      <c:layout/>
      <c:spPr>
        <a:noFill/>
        <a:ln>
          <a:noFill/>
        </a:ln>
      </c:spPr>
    </c:title>
    <c:plotArea>
      <c:layout>
        <c:manualLayout>
          <c:xMode val="edge"/>
          <c:yMode val="edge"/>
          <c:x val="0.027"/>
          <c:y val="0.0905"/>
          <c:w val="0.94675"/>
          <c:h val="0.881"/>
        </c:manualLayout>
      </c:layout>
      <c:lineChart>
        <c:grouping val="standard"/>
        <c:varyColors val="0"/>
        <c:ser>
          <c:idx val="0"/>
          <c:order val="0"/>
          <c:tx>
            <c:strRef>
              <c:f>Results!$AD$5</c:f>
              <c:strCache>
                <c:ptCount val="1"/>
                <c:pt idx="0">
                  <c:v>Cash Flow</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Results!$AA$6:$AA$11</c:f>
              <c:numCache>
                <c:ptCount val="6"/>
                <c:pt idx="0">
                  <c:v>0</c:v>
                </c:pt>
                <c:pt idx="1">
                  <c:v>0</c:v>
                </c:pt>
                <c:pt idx="2">
                  <c:v>0</c:v>
                </c:pt>
                <c:pt idx="3">
                  <c:v>0</c:v>
                </c:pt>
                <c:pt idx="4">
                  <c:v>0</c:v>
                </c:pt>
                <c:pt idx="5">
                  <c:v>0</c:v>
                </c:pt>
              </c:numCache>
            </c:numRef>
          </c:cat>
          <c:val>
            <c:numRef>
              <c:f>Results!$AD$6:$AD$11</c:f>
              <c:numCache>
                <c:ptCount val="6"/>
                <c:pt idx="0">
                  <c:v>0</c:v>
                </c:pt>
                <c:pt idx="1">
                  <c:v>0</c:v>
                </c:pt>
                <c:pt idx="2">
                  <c:v>0</c:v>
                </c:pt>
                <c:pt idx="3">
                  <c:v>0</c:v>
                </c:pt>
                <c:pt idx="4">
                  <c:v>0</c:v>
                </c:pt>
                <c:pt idx="5">
                  <c:v>0</c:v>
                </c:pt>
              </c:numCache>
            </c:numRef>
          </c:val>
          <c:smooth val="1"/>
        </c:ser>
        <c:axId val="37430717"/>
        <c:axId val="1332134"/>
      </c:lineChart>
      <c:catAx>
        <c:axId val="37430717"/>
        <c:scaling>
          <c:orientation val="minMax"/>
        </c:scaling>
        <c:axPos val="b"/>
        <c:delete val="0"/>
        <c:numFmt formatCode="General" sourceLinked="1"/>
        <c:majorTickMark val="out"/>
        <c:minorTickMark val="none"/>
        <c:tickLblPos val="nextTo"/>
        <c:txPr>
          <a:bodyPr/>
          <a:lstStyle/>
          <a:p>
            <a:pPr>
              <a:defRPr lang="en-US" cap="none" sz="800" b="1" i="0" u="none" baseline="0">
                <a:solidFill>
                  <a:srgbClr val="FFFFFF"/>
                </a:solidFill>
                <a:latin typeface="Arial"/>
                <a:ea typeface="Arial"/>
                <a:cs typeface="Arial"/>
              </a:defRPr>
            </a:pPr>
          </a:p>
        </c:txPr>
        <c:crossAx val="1332134"/>
        <c:crosses val="autoZero"/>
        <c:auto val="1"/>
        <c:lblOffset val="100"/>
        <c:noMultiLvlLbl val="0"/>
      </c:catAx>
      <c:valAx>
        <c:axId val="1332134"/>
        <c:scaling>
          <c:orientation val="minMax"/>
        </c:scaling>
        <c:axPos val="l"/>
        <c:majorGridlines>
          <c:spPr>
            <a:ln w="3175">
              <a:solidFill/>
              <a:prstDash val="sysDot"/>
            </a:ln>
          </c:spPr>
        </c:majorGridlines>
        <c:delete val="0"/>
        <c:numFmt formatCode="General" sourceLinked="1"/>
        <c:majorTickMark val="out"/>
        <c:minorTickMark val="none"/>
        <c:tickLblPos val="nextTo"/>
        <c:txPr>
          <a:bodyPr/>
          <a:lstStyle/>
          <a:p>
            <a:pPr>
              <a:defRPr lang="en-US" cap="none" sz="800" b="1" i="0" u="none" baseline="0">
                <a:solidFill>
                  <a:srgbClr val="FFFFFF"/>
                </a:solidFill>
                <a:latin typeface="Arial"/>
                <a:ea typeface="Arial"/>
                <a:cs typeface="Arial"/>
              </a:defRPr>
            </a:pPr>
          </a:p>
        </c:txPr>
        <c:crossAx val="37430717"/>
        <c:crossesAt val="1"/>
        <c:crossBetween val="between"/>
        <c:dispUnits/>
      </c:valAx>
      <c:spPr>
        <a:solidFill>
          <a:srgbClr val="FFFFFF"/>
        </a:solidFill>
        <a:ln w="12700">
          <a:solidFill>
            <a:srgbClr val="808080"/>
          </a:solidFill>
        </a:ln>
      </c:spPr>
    </c:plotArea>
    <c:plotVisOnly val="1"/>
    <c:dispBlanksAs val="gap"/>
    <c:showDLblsOverMax val="0"/>
  </c:chart>
  <c:spPr>
    <a:solidFill>
      <a:srgbClr val="666699"/>
    </a:solidFill>
    <a:ln w="3175">
      <a:solidFill>
        <a:srgbClr val="FFFF99"/>
      </a:solidFill>
    </a:ln>
    <a:effectLst>
      <a:outerShdw dist="35921" dir="2700000" algn="br">
        <a:prstClr val="black"/>
      </a:outerShdw>
    </a:effectLst>
  </c:spPr>
  <c:txPr>
    <a:bodyPr vert="horz" rot="0"/>
    <a:lstStyle/>
    <a:p>
      <a:pPr>
        <a:defRPr lang="en-US" cap="none" sz="8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850" b="1" i="0" u="none" baseline="0">
                <a:solidFill>
                  <a:srgbClr val="FFFFFF"/>
                </a:solidFill>
                <a:latin typeface="Arial"/>
                <a:ea typeface="Arial"/>
                <a:cs typeface="Arial"/>
              </a:rPr>
              <a:t>Cumulative Cash Flow</a:t>
            </a:r>
          </a:p>
        </c:rich>
      </c:tx>
      <c:layout/>
      <c:spPr>
        <a:noFill/>
        <a:ln>
          <a:noFill/>
        </a:ln>
      </c:spPr>
    </c:title>
    <c:plotArea>
      <c:layout>
        <c:manualLayout>
          <c:xMode val="edge"/>
          <c:yMode val="edge"/>
          <c:x val="0.0255"/>
          <c:y val="0.08925"/>
          <c:w val="0.94875"/>
          <c:h val="0.8815"/>
        </c:manualLayout>
      </c:layout>
      <c:lineChart>
        <c:grouping val="standard"/>
        <c:varyColors val="0"/>
        <c:ser>
          <c:idx val="0"/>
          <c:order val="0"/>
          <c:tx>
            <c:strRef>
              <c:f>Results!$AB$5</c:f>
              <c:strCache>
                <c:ptCount val="1"/>
                <c:pt idx="0">
                  <c:v>Cash Flow</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Results!$AA$6:$AA$11</c:f>
              <c:numCache>
                <c:ptCount val="6"/>
                <c:pt idx="0">
                  <c:v>0</c:v>
                </c:pt>
                <c:pt idx="1">
                  <c:v>0</c:v>
                </c:pt>
                <c:pt idx="2">
                  <c:v>0</c:v>
                </c:pt>
                <c:pt idx="3">
                  <c:v>0</c:v>
                </c:pt>
                <c:pt idx="4">
                  <c:v>0</c:v>
                </c:pt>
                <c:pt idx="5">
                  <c:v>0</c:v>
                </c:pt>
              </c:numCache>
            </c:numRef>
          </c:cat>
          <c:val>
            <c:numRef>
              <c:f>Results!$AB$6:$AB$11</c:f>
              <c:numCache>
                <c:ptCount val="6"/>
                <c:pt idx="0">
                  <c:v>0</c:v>
                </c:pt>
                <c:pt idx="1">
                  <c:v>0</c:v>
                </c:pt>
                <c:pt idx="2">
                  <c:v>0</c:v>
                </c:pt>
                <c:pt idx="3">
                  <c:v>0</c:v>
                </c:pt>
                <c:pt idx="4">
                  <c:v>0</c:v>
                </c:pt>
                <c:pt idx="5">
                  <c:v>0</c:v>
                </c:pt>
              </c:numCache>
            </c:numRef>
          </c:val>
          <c:smooth val="1"/>
        </c:ser>
        <c:axId val="11989207"/>
        <c:axId val="40794000"/>
      </c:lineChart>
      <c:catAx>
        <c:axId val="11989207"/>
        <c:scaling>
          <c:orientation val="minMax"/>
        </c:scaling>
        <c:axPos val="b"/>
        <c:delete val="0"/>
        <c:numFmt formatCode="General" sourceLinked="1"/>
        <c:majorTickMark val="out"/>
        <c:minorTickMark val="none"/>
        <c:tickLblPos val="nextTo"/>
        <c:txPr>
          <a:bodyPr/>
          <a:lstStyle/>
          <a:p>
            <a:pPr>
              <a:defRPr lang="en-US" cap="none" sz="800" b="1" i="0" u="none" baseline="0">
                <a:solidFill>
                  <a:srgbClr val="FFFFFF"/>
                </a:solidFill>
                <a:latin typeface="Arial"/>
                <a:ea typeface="Arial"/>
                <a:cs typeface="Arial"/>
              </a:defRPr>
            </a:pPr>
          </a:p>
        </c:txPr>
        <c:crossAx val="40794000"/>
        <c:crosses val="autoZero"/>
        <c:auto val="1"/>
        <c:lblOffset val="100"/>
        <c:noMultiLvlLbl val="0"/>
      </c:catAx>
      <c:valAx>
        <c:axId val="40794000"/>
        <c:scaling>
          <c:orientation val="minMax"/>
        </c:scaling>
        <c:axPos val="l"/>
        <c:majorGridlines>
          <c:spPr>
            <a:ln w="3175">
              <a:solidFill/>
              <a:prstDash val="sysDot"/>
            </a:ln>
          </c:spPr>
        </c:majorGridlines>
        <c:delete val="0"/>
        <c:numFmt formatCode="General" sourceLinked="1"/>
        <c:majorTickMark val="out"/>
        <c:minorTickMark val="none"/>
        <c:tickLblPos val="nextTo"/>
        <c:txPr>
          <a:bodyPr/>
          <a:lstStyle/>
          <a:p>
            <a:pPr>
              <a:defRPr lang="en-US" cap="none" sz="800" b="1" i="0" u="none" baseline="0">
                <a:solidFill>
                  <a:srgbClr val="FFFFFF"/>
                </a:solidFill>
                <a:latin typeface="Arial"/>
                <a:ea typeface="Arial"/>
                <a:cs typeface="Arial"/>
              </a:defRPr>
            </a:pPr>
          </a:p>
        </c:txPr>
        <c:crossAx val="11989207"/>
        <c:crossesAt val="1"/>
        <c:crossBetween val="between"/>
        <c:dispUnits/>
      </c:valAx>
      <c:spPr>
        <a:solidFill>
          <a:srgbClr val="FFFFFF"/>
        </a:solidFill>
        <a:ln w="12700">
          <a:solidFill>
            <a:srgbClr val="808080"/>
          </a:solidFill>
        </a:ln>
      </c:spPr>
    </c:plotArea>
    <c:plotVisOnly val="1"/>
    <c:dispBlanksAs val="gap"/>
    <c:showDLblsOverMax val="0"/>
  </c:chart>
  <c:spPr>
    <a:solidFill>
      <a:srgbClr val="666699"/>
    </a:solidFill>
    <a:ln w="3175">
      <a:solidFill>
        <a:srgbClr val="FFFF99"/>
      </a:solidFill>
    </a:ln>
    <a:effectLst>
      <a:outerShdw dist="35921" dir="2700000" algn="br">
        <a:prstClr val="black"/>
      </a:outerShdw>
    </a:effectLst>
  </c:spPr>
  <c:txPr>
    <a:bodyPr vert="horz" rot="0"/>
    <a:lstStyle/>
    <a:p>
      <a:pPr>
        <a:defRPr lang="en-US" cap="none" sz="8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800" b="1" i="0" u="none" baseline="0">
                <a:solidFill>
                  <a:srgbClr val="FFFFFF"/>
                </a:solidFill>
                <a:latin typeface="Arial"/>
                <a:ea typeface="Arial"/>
                <a:cs typeface="Arial"/>
              </a:rPr>
              <a:t>Annual Cash Flow with Terminal Value</a:t>
            </a:r>
          </a:p>
        </c:rich>
      </c:tx>
      <c:layout/>
      <c:spPr>
        <a:noFill/>
        <a:ln>
          <a:noFill/>
        </a:ln>
      </c:spPr>
    </c:title>
    <c:plotArea>
      <c:layout>
        <c:manualLayout>
          <c:xMode val="edge"/>
          <c:yMode val="edge"/>
          <c:x val="0.0165"/>
          <c:y val="0.09625"/>
          <c:w val="0.968"/>
          <c:h val="0.85375"/>
        </c:manualLayout>
      </c:layout>
      <c:lineChart>
        <c:grouping val="standard"/>
        <c:varyColors val="0"/>
        <c:ser>
          <c:idx val="1"/>
          <c:order val="0"/>
          <c:tx>
            <c:strRef>
              <c:f>Results!$AD$5</c:f>
              <c:strCache>
                <c:ptCount val="1"/>
                <c:pt idx="0">
                  <c:v>Cash Flow</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Results!$AD$6:$AD$106</c:f>
              <c:numCache>
                <c:ptCount val="10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numCache>
            </c:numRef>
          </c:val>
          <c:smooth val="1"/>
        </c:ser>
        <c:axId val="31601681"/>
        <c:axId val="15979674"/>
      </c:lineChart>
      <c:catAx>
        <c:axId val="31601681"/>
        <c:scaling>
          <c:orientation val="minMax"/>
        </c:scaling>
        <c:axPos val="b"/>
        <c:title>
          <c:tx>
            <c:rich>
              <a:bodyPr vert="horz" rot="0" anchor="ctr"/>
              <a:lstStyle/>
              <a:p>
                <a:pPr algn="ctr">
                  <a:defRPr/>
                </a:pPr>
                <a:r>
                  <a:rPr lang="en-US" cap="none" sz="800" b="1" i="0" u="none" baseline="0">
                    <a:solidFill>
                      <a:srgbClr val="FFFFFF"/>
                    </a:solidFill>
                    <a:latin typeface="Arial"/>
                    <a:ea typeface="Arial"/>
                    <a:cs typeface="Arial"/>
                  </a:rPr>
                  <a:t>Year</a:t>
                </a:r>
              </a:p>
            </c:rich>
          </c:tx>
          <c:layout/>
          <c:overlay val="0"/>
          <c:spPr>
            <a:noFill/>
            <a:ln>
              <a:noFill/>
            </a:ln>
          </c:spPr>
        </c:title>
        <c:delete val="0"/>
        <c:numFmt formatCode="General" sourceLinked="1"/>
        <c:majorTickMark val="out"/>
        <c:minorTickMark val="none"/>
        <c:tickLblPos val="nextTo"/>
        <c:txPr>
          <a:bodyPr vert="horz" rot="-5400000"/>
          <a:lstStyle/>
          <a:p>
            <a:pPr>
              <a:defRPr lang="en-US" cap="none" sz="800" b="1" i="0" u="none" baseline="0">
                <a:solidFill>
                  <a:srgbClr val="FFFFFF"/>
                </a:solidFill>
                <a:latin typeface="Arial"/>
                <a:ea typeface="Arial"/>
                <a:cs typeface="Arial"/>
              </a:defRPr>
            </a:pPr>
          </a:p>
        </c:txPr>
        <c:crossAx val="15979674"/>
        <c:crosses val="autoZero"/>
        <c:auto val="1"/>
        <c:lblOffset val="100"/>
        <c:noMultiLvlLbl val="0"/>
      </c:catAx>
      <c:valAx>
        <c:axId val="15979674"/>
        <c:scaling>
          <c:orientation val="minMax"/>
          <c:min val="0"/>
        </c:scaling>
        <c:axPos val="l"/>
        <c:majorGridlines>
          <c:spPr>
            <a:ln w="3175">
              <a:solidFill/>
              <a:prstDash val="sysDot"/>
            </a:ln>
          </c:spPr>
        </c:majorGridlines>
        <c:delete val="0"/>
        <c:numFmt formatCode="General" sourceLinked="1"/>
        <c:majorTickMark val="out"/>
        <c:minorTickMark val="none"/>
        <c:tickLblPos val="nextTo"/>
        <c:txPr>
          <a:bodyPr/>
          <a:lstStyle/>
          <a:p>
            <a:pPr>
              <a:defRPr lang="en-US" cap="none" sz="800" b="1" i="0" u="none" baseline="0">
                <a:solidFill>
                  <a:srgbClr val="FFFFFF"/>
                </a:solidFill>
                <a:latin typeface="Arial"/>
                <a:ea typeface="Arial"/>
                <a:cs typeface="Arial"/>
              </a:defRPr>
            </a:pPr>
          </a:p>
        </c:txPr>
        <c:crossAx val="31601681"/>
        <c:crossesAt val="1"/>
        <c:crossBetween val="between"/>
        <c:dispUnits/>
      </c:valAx>
      <c:spPr>
        <a:solidFill>
          <a:srgbClr val="FFFFFF"/>
        </a:solidFill>
        <a:ln w="12700">
          <a:solidFill>
            <a:srgbClr val="808080"/>
          </a:solidFill>
        </a:ln>
      </c:spPr>
    </c:plotArea>
    <c:plotVisOnly val="1"/>
    <c:dispBlanksAs val="gap"/>
    <c:showDLblsOverMax val="0"/>
  </c:chart>
  <c:spPr>
    <a:solidFill>
      <a:srgbClr val="666699"/>
    </a:solidFill>
    <a:ln w="3175">
      <a:solidFill>
        <a:srgbClr val="FFFF99"/>
      </a:solidFill>
    </a:ln>
    <a:effectLst>
      <a:outerShdw dist="35921" dir="2700000" algn="br">
        <a:prstClr val="black"/>
      </a:outerShdw>
    </a:effectLst>
  </c:spPr>
  <c:txPr>
    <a:bodyPr vert="horz" rot="0"/>
    <a:lstStyle/>
    <a:p>
      <a:pPr>
        <a:defRPr lang="en-US" cap="none" sz="8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875" b="1" i="0" u="none" baseline="0">
                <a:solidFill>
                  <a:srgbClr val="FFFFFF"/>
                </a:solidFill>
                <a:latin typeface="Arial"/>
                <a:ea typeface="Arial"/>
                <a:cs typeface="Arial"/>
              </a:rPr>
              <a:t>Annual Economic Value Added</a:t>
            </a:r>
          </a:p>
        </c:rich>
      </c:tx>
      <c:layout/>
      <c:spPr>
        <a:noFill/>
        <a:ln>
          <a:noFill/>
        </a:ln>
      </c:spPr>
    </c:title>
    <c:plotArea>
      <c:layout>
        <c:manualLayout>
          <c:xMode val="edge"/>
          <c:yMode val="edge"/>
          <c:x val="0.02025"/>
          <c:y val="0.074"/>
          <c:w val="0.95975"/>
          <c:h val="0.9045"/>
        </c:manualLayout>
      </c:layout>
      <c:lineChart>
        <c:grouping val="standard"/>
        <c:varyColors val="0"/>
        <c:ser>
          <c:idx val="0"/>
          <c:order val="0"/>
          <c:tx>
            <c:strRef>
              <c:f>Results!$AE$5</c:f>
              <c:strCache>
                <c:ptCount val="1"/>
                <c:pt idx="0">
                  <c:v>EVA</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Results!$AA$6:$AA$11</c:f>
              <c:numCache>
                <c:ptCount val="6"/>
                <c:pt idx="0">
                  <c:v>0</c:v>
                </c:pt>
                <c:pt idx="1">
                  <c:v>0</c:v>
                </c:pt>
                <c:pt idx="2">
                  <c:v>0</c:v>
                </c:pt>
                <c:pt idx="3">
                  <c:v>0</c:v>
                </c:pt>
                <c:pt idx="4">
                  <c:v>0</c:v>
                </c:pt>
                <c:pt idx="5">
                  <c:v>0</c:v>
                </c:pt>
              </c:numCache>
            </c:numRef>
          </c:cat>
          <c:val>
            <c:numRef>
              <c:f>Results!$AE$6:$AE$11</c:f>
              <c:numCache>
                <c:ptCount val="6"/>
                <c:pt idx="0">
                  <c:v>0</c:v>
                </c:pt>
                <c:pt idx="1">
                  <c:v>0</c:v>
                </c:pt>
                <c:pt idx="2">
                  <c:v>0</c:v>
                </c:pt>
                <c:pt idx="3">
                  <c:v>0</c:v>
                </c:pt>
                <c:pt idx="4">
                  <c:v>0</c:v>
                </c:pt>
                <c:pt idx="5">
                  <c:v>0</c:v>
                </c:pt>
              </c:numCache>
            </c:numRef>
          </c:val>
          <c:smooth val="1"/>
        </c:ser>
        <c:axId val="9599339"/>
        <c:axId val="19285188"/>
      </c:lineChart>
      <c:catAx>
        <c:axId val="9599339"/>
        <c:scaling>
          <c:orientation val="minMax"/>
        </c:scaling>
        <c:axPos val="b"/>
        <c:delete val="0"/>
        <c:numFmt formatCode="General" sourceLinked="1"/>
        <c:majorTickMark val="out"/>
        <c:minorTickMark val="none"/>
        <c:tickLblPos val="nextTo"/>
        <c:txPr>
          <a:bodyPr/>
          <a:lstStyle/>
          <a:p>
            <a:pPr>
              <a:defRPr lang="en-US" cap="none" sz="800" b="1" i="0" u="none" baseline="0">
                <a:solidFill>
                  <a:srgbClr val="FFFFFF"/>
                </a:solidFill>
                <a:latin typeface="Arial"/>
                <a:ea typeface="Arial"/>
                <a:cs typeface="Arial"/>
              </a:defRPr>
            </a:pPr>
          </a:p>
        </c:txPr>
        <c:crossAx val="19285188"/>
        <c:crosses val="autoZero"/>
        <c:auto val="1"/>
        <c:lblOffset val="100"/>
        <c:noMultiLvlLbl val="0"/>
      </c:catAx>
      <c:valAx>
        <c:axId val="19285188"/>
        <c:scaling>
          <c:orientation val="minMax"/>
        </c:scaling>
        <c:axPos val="l"/>
        <c:majorGridlines>
          <c:spPr>
            <a:ln w="3175">
              <a:solidFill/>
              <a:prstDash val="sysDot"/>
            </a:ln>
          </c:spPr>
        </c:majorGridlines>
        <c:delete val="0"/>
        <c:numFmt formatCode="General" sourceLinked="1"/>
        <c:majorTickMark val="out"/>
        <c:minorTickMark val="none"/>
        <c:tickLblPos val="nextTo"/>
        <c:txPr>
          <a:bodyPr/>
          <a:lstStyle/>
          <a:p>
            <a:pPr>
              <a:defRPr lang="en-US" cap="none" sz="800" b="1" i="0" u="none" baseline="0">
                <a:solidFill>
                  <a:srgbClr val="FFFFFF"/>
                </a:solidFill>
                <a:latin typeface="Arial"/>
                <a:ea typeface="Arial"/>
                <a:cs typeface="Arial"/>
              </a:defRPr>
            </a:pPr>
          </a:p>
        </c:txPr>
        <c:crossAx val="9599339"/>
        <c:crossesAt val="1"/>
        <c:crossBetween val="between"/>
        <c:dispUnits/>
      </c:valAx>
      <c:spPr>
        <a:solidFill>
          <a:srgbClr val="FFFFFF"/>
        </a:solidFill>
        <a:ln w="12700">
          <a:solidFill>
            <a:srgbClr val="808080"/>
          </a:solidFill>
        </a:ln>
      </c:spPr>
    </c:plotArea>
    <c:plotVisOnly val="1"/>
    <c:dispBlanksAs val="gap"/>
    <c:showDLblsOverMax val="0"/>
  </c:chart>
  <c:spPr>
    <a:solidFill>
      <a:srgbClr val="666699"/>
    </a:solidFill>
    <a:ln w="3175">
      <a:solidFill>
        <a:srgbClr val="FFFF99"/>
      </a:solidFill>
    </a:ln>
    <a:effectLst>
      <a:outerShdw dist="35921" dir="2700000" algn="br">
        <a:prstClr val="black"/>
      </a:outerShdw>
    </a:effectLst>
  </c:spPr>
  <c:txPr>
    <a:bodyPr vert="horz" rot="0"/>
    <a:lstStyle/>
    <a:p>
      <a:pPr>
        <a:defRPr lang="en-US" cap="none" sz="80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850" b="1" i="0" u="none" baseline="0">
                <a:solidFill>
                  <a:srgbClr val="FFFFFF"/>
                </a:solidFill>
                <a:latin typeface="Arial"/>
                <a:ea typeface="Arial"/>
                <a:cs typeface="Arial"/>
              </a:rPr>
              <a:t>Cumulative Economic Value Added</a:t>
            </a:r>
          </a:p>
        </c:rich>
      </c:tx>
      <c:layout/>
      <c:spPr>
        <a:noFill/>
        <a:ln>
          <a:noFill/>
        </a:ln>
      </c:spPr>
    </c:title>
    <c:plotArea>
      <c:layout>
        <c:manualLayout>
          <c:xMode val="edge"/>
          <c:yMode val="edge"/>
          <c:x val="0.01925"/>
          <c:y val="0.073"/>
          <c:w val="0.9615"/>
          <c:h val="0.9055"/>
        </c:manualLayout>
      </c:layout>
      <c:lineChart>
        <c:grouping val="standard"/>
        <c:varyColors val="0"/>
        <c:ser>
          <c:idx val="0"/>
          <c:order val="0"/>
          <c:tx>
            <c:strRef>
              <c:f>Results!$AC$5</c:f>
              <c:strCache>
                <c:ptCount val="1"/>
                <c:pt idx="0">
                  <c:v>EVA</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Results!$AA$6:$AA$11</c:f>
              <c:numCache>
                <c:ptCount val="6"/>
                <c:pt idx="0">
                  <c:v>0</c:v>
                </c:pt>
                <c:pt idx="1">
                  <c:v>0</c:v>
                </c:pt>
                <c:pt idx="2">
                  <c:v>0</c:v>
                </c:pt>
                <c:pt idx="3">
                  <c:v>0</c:v>
                </c:pt>
                <c:pt idx="4">
                  <c:v>0</c:v>
                </c:pt>
                <c:pt idx="5">
                  <c:v>0</c:v>
                </c:pt>
              </c:numCache>
            </c:numRef>
          </c:cat>
          <c:val>
            <c:numRef>
              <c:f>Results!$AC$6:$AC$11</c:f>
              <c:numCache>
                <c:ptCount val="6"/>
                <c:pt idx="0">
                  <c:v>0</c:v>
                </c:pt>
                <c:pt idx="1">
                  <c:v>0</c:v>
                </c:pt>
                <c:pt idx="2">
                  <c:v>0</c:v>
                </c:pt>
                <c:pt idx="3">
                  <c:v>0</c:v>
                </c:pt>
                <c:pt idx="4">
                  <c:v>0</c:v>
                </c:pt>
                <c:pt idx="5">
                  <c:v>0</c:v>
                </c:pt>
              </c:numCache>
            </c:numRef>
          </c:val>
          <c:smooth val="1"/>
        </c:ser>
        <c:axId val="39348965"/>
        <c:axId val="18596366"/>
      </c:lineChart>
      <c:catAx>
        <c:axId val="39348965"/>
        <c:scaling>
          <c:orientation val="minMax"/>
        </c:scaling>
        <c:axPos val="b"/>
        <c:delete val="0"/>
        <c:numFmt formatCode="General" sourceLinked="1"/>
        <c:majorTickMark val="out"/>
        <c:minorTickMark val="none"/>
        <c:tickLblPos val="nextTo"/>
        <c:txPr>
          <a:bodyPr/>
          <a:lstStyle/>
          <a:p>
            <a:pPr>
              <a:defRPr lang="en-US" cap="none" sz="800" b="1" i="0" u="none" baseline="0">
                <a:solidFill>
                  <a:srgbClr val="FFFFFF"/>
                </a:solidFill>
                <a:latin typeface="Arial"/>
                <a:ea typeface="Arial"/>
                <a:cs typeface="Arial"/>
              </a:defRPr>
            </a:pPr>
          </a:p>
        </c:txPr>
        <c:crossAx val="18596366"/>
        <c:crosses val="autoZero"/>
        <c:auto val="1"/>
        <c:lblOffset val="100"/>
        <c:noMultiLvlLbl val="0"/>
      </c:catAx>
      <c:valAx>
        <c:axId val="18596366"/>
        <c:scaling>
          <c:orientation val="minMax"/>
        </c:scaling>
        <c:axPos val="l"/>
        <c:majorGridlines>
          <c:spPr>
            <a:ln w="3175">
              <a:solidFill/>
              <a:prstDash val="sysDot"/>
            </a:ln>
          </c:spPr>
        </c:majorGridlines>
        <c:delete val="0"/>
        <c:numFmt formatCode="General" sourceLinked="1"/>
        <c:majorTickMark val="out"/>
        <c:minorTickMark val="none"/>
        <c:tickLblPos val="nextTo"/>
        <c:txPr>
          <a:bodyPr/>
          <a:lstStyle/>
          <a:p>
            <a:pPr>
              <a:defRPr lang="en-US" cap="none" sz="800" b="1" i="0" u="none" baseline="0">
                <a:solidFill>
                  <a:srgbClr val="FFFFFF"/>
                </a:solidFill>
                <a:latin typeface="Arial"/>
                <a:ea typeface="Arial"/>
                <a:cs typeface="Arial"/>
              </a:defRPr>
            </a:pPr>
          </a:p>
        </c:txPr>
        <c:crossAx val="39348965"/>
        <c:crossesAt val="1"/>
        <c:crossBetween val="between"/>
        <c:dispUnits/>
      </c:valAx>
      <c:spPr>
        <a:solidFill>
          <a:srgbClr val="FFFFFF"/>
        </a:solidFill>
        <a:ln w="12700">
          <a:solidFill>
            <a:srgbClr val="808080"/>
          </a:solidFill>
        </a:ln>
      </c:spPr>
    </c:plotArea>
    <c:plotVisOnly val="1"/>
    <c:dispBlanksAs val="gap"/>
    <c:showDLblsOverMax val="0"/>
  </c:chart>
  <c:spPr>
    <a:solidFill>
      <a:srgbClr val="666699"/>
    </a:solidFill>
    <a:ln w="3175">
      <a:solidFill>
        <a:srgbClr val="FFFF99"/>
      </a:solidFill>
    </a:ln>
    <a:effectLst>
      <a:outerShdw dist="35921" dir="2700000" algn="br">
        <a:prstClr val="black"/>
      </a:outerShdw>
    </a:effectLst>
  </c:spPr>
  <c:txPr>
    <a:bodyPr vert="horz" rot="0"/>
    <a:lstStyle/>
    <a:p>
      <a:pPr>
        <a:defRPr lang="en-US" cap="none" sz="80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800" b="1" i="0" u="none" baseline="0">
                <a:solidFill>
                  <a:srgbClr val="FFFFFF"/>
                </a:solidFill>
                <a:latin typeface="Arial"/>
                <a:ea typeface="Arial"/>
                <a:cs typeface="Arial"/>
              </a:rPr>
              <a:t>Annual EVA with Terminal Value</a:t>
            </a:r>
          </a:p>
        </c:rich>
      </c:tx>
      <c:layout/>
      <c:spPr>
        <a:noFill/>
        <a:ln>
          <a:noFill/>
        </a:ln>
      </c:spPr>
    </c:title>
    <c:plotArea>
      <c:layout>
        <c:manualLayout>
          <c:xMode val="edge"/>
          <c:yMode val="edge"/>
          <c:x val="0.0125"/>
          <c:y val="0.0765"/>
          <c:w val="0.975"/>
          <c:h val="0.88525"/>
        </c:manualLayout>
      </c:layout>
      <c:lineChart>
        <c:grouping val="standard"/>
        <c:varyColors val="0"/>
        <c:ser>
          <c:idx val="1"/>
          <c:order val="0"/>
          <c:tx>
            <c:strRef>
              <c:f>Results!$AE$5</c:f>
              <c:strCache>
                <c:ptCount val="1"/>
                <c:pt idx="0">
                  <c:v>EVA</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Results!$AE$6:$AE$106</c:f>
              <c:numCache>
                <c:ptCount val="10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numCache>
            </c:numRef>
          </c:val>
          <c:smooth val="1"/>
        </c:ser>
        <c:axId val="33149567"/>
        <c:axId val="29910648"/>
      </c:lineChart>
      <c:catAx>
        <c:axId val="33149567"/>
        <c:scaling>
          <c:orientation val="minMax"/>
        </c:scaling>
        <c:axPos val="b"/>
        <c:title>
          <c:tx>
            <c:rich>
              <a:bodyPr vert="horz" rot="0" anchor="ctr"/>
              <a:lstStyle/>
              <a:p>
                <a:pPr algn="ctr">
                  <a:defRPr/>
                </a:pPr>
                <a:r>
                  <a:rPr lang="en-US" cap="none" sz="800" b="1" i="0" u="none" baseline="0">
                    <a:solidFill>
                      <a:srgbClr val="FFFFFF"/>
                    </a:solidFill>
                    <a:latin typeface="Arial"/>
                    <a:ea typeface="Arial"/>
                    <a:cs typeface="Arial"/>
                  </a:rPr>
                  <a:t>Year</a:t>
                </a:r>
              </a:p>
            </c:rich>
          </c:tx>
          <c:layout/>
          <c:overlay val="0"/>
          <c:spPr>
            <a:noFill/>
            <a:ln>
              <a:noFill/>
            </a:ln>
          </c:spPr>
        </c:title>
        <c:delete val="0"/>
        <c:numFmt formatCode="General" sourceLinked="1"/>
        <c:majorTickMark val="out"/>
        <c:minorTickMark val="none"/>
        <c:tickLblPos val="nextTo"/>
        <c:txPr>
          <a:bodyPr vert="horz" rot="-5400000"/>
          <a:lstStyle/>
          <a:p>
            <a:pPr>
              <a:defRPr lang="en-US" cap="none" sz="800" b="1" i="0" u="none" baseline="0">
                <a:solidFill>
                  <a:srgbClr val="FFFFFF"/>
                </a:solidFill>
                <a:latin typeface="Arial"/>
                <a:ea typeface="Arial"/>
                <a:cs typeface="Arial"/>
              </a:defRPr>
            </a:pPr>
          </a:p>
        </c:txPr>
        <c:crossAx val="29910648"/>
        <c:crosses val="autoZero"/>
        <c:auto val="1"/>
        <c:lblOffset val="100"/>
        <c:noMultiLvlLbl val="0"/>
      </c:catAx>
      <c:valAx>
        <c:axId val="29910648"/>
        <c:scaling>
          <c:orientation val="minMax"/>
          <c:min val="0"/>
        </c:scaling>
        <c:axPos val="l"/>
        <c:majorGridlines>
          <c:spPr>
            <a:ln w="3175">
              <a:solidFill/>
              <a:prstDash val="sysDot"/>
            </a:ln>
          </c:spPr>
        </c:majorGridlines>
        <c:delete val="0"/>
        <c:numFmt formatCode="General" sourceLinked="1"/>
        <c:majorTickMark val="out"/>
        <c:minorTickMark val="none"/>
        <c:tickLblPos val="nextTo"/>
        <c:txPr>
          <a:bodyPr/>
          <a:lstStyle/>
          <a:p>
            <a:pPr>
              <a:defRPr lang="en-US" cap="none" sz="800" b="1" i="0" u="none" baseline="0">
                <a:solidFill>
                  <a:srgbClr val="FFFFFF"/>
                </a:solidFill>
                <a:latin typeface="Arial"/>
                <a:ea typeface="Arial"/>
                <a:cs typeface="Arial"/>
              </a:defRPr>
            </a:pPr>
          </a:p>
        </c:txPr>
        <c:crossAx val="33149567"/>
        <c:crossesAt val="1"/>
        <c:crossBetween val="between"/>
        <c:dispUnits/>
      </c:valAx>
      <c:spPr>
        <a:solidFill>
          <a:srgbClr val="FFFFFF"/>
        </a:solidFill>
        <a:ln w="12700">
          <a:solidFill>
            <a:srgbClr val="808080"/>
          </a:solidFill>
        </a:ln>
      </c:spPr>
    </c:plotArea>
    <c:plotVisOnly val="1"/>
    <c:dispBlanksAs val="gap"/>
    <c:showDLblsOverMax val="0"/>
  </c:chart>
  <c:spPr>
    <a:solidFill>
      <a:srgbClr val="666699"/>
    </a:solidFill>
    <a:ln w="3175">
      <a:solidFill>
        <a:srgbClr val="FFFF99"/>
      </a:solidFill>
    </a:ln>
    <a:effectLst>
      <a:outerShdw dist="35921" dir="2700000" algn="br">
        <a:prstClr val="black"/>
      </a:outerShdw>
    </a:effectLst>
  </c:spPr>
  <c:txPr>
    <a:bodyPr vert="horz" rot="0"/>
    <a:lstStyle/>
    <a:p>
      <a:pPr>
        <a:defRPr lang="en-US" cap="none" sz="8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8.png" /><Relationship Id="rId3" Type="http://schemas.openxmlformats.org/officeDocument/2006/relationships/image" Target="../media/image9.bmp" /><Relationship Id="rId4" Type="http://schemas.openxmlformats.org/officeDocument/2006/relationships/image" Target="../media/image7.png" /></Relationships>
</file>

<file path=xl/drawings/_rels/drawing2.xml.rels><?xml version="1.0" encoding="utf-8" standalone="yes"?><Relationships xmlns="http://schemas.openxmlformats.org/package/2006/relationships"><Relationship Id="rId1" Type="http://schemas.openxmlformats.org/officeDocument/2006/relationships/image" Target="../media/image4.bmp" /><Relationship Id="rId2" Type="http://schemas.openxmlformats.org/officeDocument/2006/relationships/image" Target="../media/image5.bmp" /><Relationship Id="rId3" Type="http://schemas.openxmlformats.org/officeDocument/2006/relationships/image" Target="../media/image2.png" /><Relationship Id="rId4" Type="http://schemas.openxmlformats.org/officeDocument/2006/relationships/image" Target="../media/image9.bmp" /><Relationship Id="rId5" Type="http://schemas.openxmlformats.org/officeDocument/2006/relationships/image" Target="../media/image3.bmp" /><Relationship Id="rId6" Type="http://schemas.openxmlformats.org/officeDocument/2006/relationships/image" Target="../media/image1.png" /><Relationship Id="rId7" Type="http://schemas.openxmlformats.org/officeDocument/2006/relationships/image" Target="../media/image7.png" /></Relationships>
</file>

<file path=xl/drawings/_rels/drawing3.xml.rels><?xml version="1.0" encoding="utf-8" standalone="yes"?><Relationships xmlns="http://schemas.openxmlformats.org/package/2006/relationships"><Relationship Id="rId1" Type="http://schemas.openxmlformats.org/officeDocument/2006/relationships/image" Target="../media/image4.bmp" /><Relationship Id="rId2" Type="http://schemas.openxmlformats.org/officeDocument/2006/relationships/image" Target="../media/image5.bmp" /><Relationship Id="rId3" Type="http://schemas.openxmlformats.org/officeDocument/2006/relationships/image" Target="../media/image9.bmp" /><Relationship Id="rId4" Type="http://schemas.openxmlformats.org/officeDocument/2006/relationships/image" Target="../media/image3.bmp" /><Relationship Id="rId5" Type="http://schemas.openxmlformats.org/officeDocument/2006/relationships/image" Target="../media/image2.png" /><Relationship Id="rId6" Type="http://schemas.openxmlformats.org/officeDocument/2006/relationships/image" Target="../media/image1.png" /><Relationship Id="rId7" Type="http://schemas.openxmlformats.org/officeDocument/2006/relationships/image" Target="../media/image7.png" /></Relationships>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image" Target="../media/image6.png" /><Relationship Id="rId8" Type="http://schemas.openxmlformats.org/officeDocument/2006/relationships/image" Target="../media/image7.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1400175</xdr:colOff>
      <xdr:row>20</xdr:row>
      <xdr:rowOff>95250</xdr:rowOff>
    </xdr:from>
    <xdr:to>
      <xdr:col>4</xdr:col>
      <xdr:colOff>85725</xdr:colOff>
      <xdr:row>20</xdr:row>
      <xdr:rowOff>95250</xdr:rowOff>
    </xdr:to>
    <xdr:sp>
      <xdr:nvSpPr>
        <xdr:cNvPr id="1" name="Line 44"/>
        <xdr:cNvSpPr>
          <a:spLocks/>
        </xdr:cNvSpPr>
      </xdr:nvSpPr>
      <xdr:spPr>
        <a:xfrm flipV="1">
          <a:off x="2600325" y="2486025"/>
          <a:ext cx="5905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6</xdr:col>
      <xdr:colOff>400050</xdr:colOff>
      <xdr:row>9</xdr:row>
      <xdr:rowOff>57150</xdr:rowOff>
    </xdr:from>
    <xdr:to>
      <xdr:col>8</xdr:col>
      <xdr:colOff>180975</xdr:colOff>
      <xdr:row>12</xdr:row>
      <xdr:rowOff>38100</xdr:rowOff>
    </xdr:to>
    <xdr:pic macro="[0]!nxt_assump">
      <xdr:nvPicPr>
        <xdr:cNvPr id="2" name="Picture 99"/>
        <xdr:cNvPicPr preferRelativeResize="1">
          <a:picLocks noChangeAspect="1"/>
        </xdr:cNvPicPr>
      </xdr:nvPicPr>
      <xdr:blipFill>
        <a:blip r:embed="rId1"/>
        <a:stretch>
          <a:fillRect/>
        </a:stretch>
      </xdr:blipFill>
      <xdr:spPr>
        <a:xfrm>
          <a:off x="5210175" y="1162050"/>
          <a:ext cx="1019175" cy="304800"/>
        </a:xfrm>
        <a:prstGeom prst="rect">
          <a:avLst/>
        </a:prstGeom>
        <a:noFill/>
        <a:ln w="9525" cmpd="sng">
          <a:noFill/>
        </a:ln>
      </xdr:spPr>
    </xdr:pic>
    <xdr:clientData fPrintsWithSheet="0"/>
  </xdr:twoCellAnchor>
  <xdr:twoCellAnchor editAs="oneCell">
    <xdr:from>
      <xdr:col>4</xdr:col>
      <xdr:colOff>495300</xdr:colOff>
      <xdr:row>23</xdr:row>
      <xdr:rowOff>9525</xdr:rowOff>
    </xdr:from>
    <xdr:to>
      <xdr:col>5</xdr:col>
      <xdr:colOff>47625</xdr:colOff>
      <xdr:row>24</xdr:row>
      <xdr:rowOff>66675</xdr:rowOff>
    </xdr:to>
    <xdr:pic macro="[0]!Calc_Coc">
      <xdr:nvPicPr>
        <xdr:cNvPr id="3" name="Picture 101"/>
        <xdr:cNvPicPr preferRelativeResize="1">
          <a:picLocks noChangeAspect="1"/>
        </xdr:cNvPicPr>
      </xdr:nvPicPr>
      <xdr:blipFill>
        <a:blip r:embed="rId2"/>
        <a:stretch>
          <a:fillRect/>
        </a:stretch>
      </xdr:blipFill>
      <xdr:spPr>
        <a:xfrm>
          <a:off x="3600450" y="2886075"/>
          <a:ext cx="714375" cy="219075"/>
        </a:xfrm>
        <a:prstGeom prst="rect">
          <a:avLst/>
        </a:prstGeom>
        <a:noFill/>
        <a:ln w="9525" cmpd="sng">
          <a:noFill/>
        </a:ln>
      </xdr:spPr>
    </xdr:pic>
    <xdr:clientData fPrintsWithSheet="0"/>
  </xdr:twoCellAnchor>
  <xdr:twoCellAnchor editAs="oneCell">
    <xdr:from>
      <xdr:col>5</xdr:col>
      <xdr:colOff>342900</xdr:colOff>
      <xdr:row>2</xdr:row>
      <xdr:rowOff>9525</xdr:rowOff>
    </xdr:from>
    <xdr:to>
      <xdr:col>5</xdr:col>
      <xdr:colOff>542925</xdr:colOff>
      <xdr:row>3</xdr:row>
      <xdr:rowOff>47625</xdr:rowOff>
    </xdr:to>
    <xdr:pic macro="[0]!H_details">
      <xdr:nvPicPr>
        <xdr:cNvPr id="4" name="Picture 102"/>
        <xdr:cNvPicPr preferRelativeResize="1">
          <a:picLocks noChangeAspect="1"/>
        </xdr:cNvPicPr>
      </xdr:nvPicPr>
      <xdr:blipFill>
        <a:blip r:embed="rId3"/>
        <a:stretch>
          <a:fillRect/>
        </a:stretch>
      </xdr:blipFill>
      <xdr:spPr>
        <a:xfrm>
          <a:off x="4610100" y="266700"/>
          <a:ext cx="200025" cy="200025"/>
        </a:xfrm>
        <a:prstGeom prst="rect">
          <a:avLst/>
        </a:prstGeom>
        <a:noFill/>
        <a:ln w="9525" cmpd="sng">
          <a:noFill/>
        </a:ln>
      </xdr:spPr>
    </xdr:pic>
    <xdr:clientData fPrintsWithSheet="0"/>
  </xdr:twoCellAnchor>
  <xdr:twoCellAnchor editAs="oneCell">
    <xdr:from>
      <xdr:col>5</xdr:col>
      <xdr:colOff>342900</xdr:colOff>
      <xdr:row>10</xdr:row>
      <xdr:rowOff>9525</xdr:rowOff>
    </xdr:from>
    <xdr:to>
      <xdr:col>5</xdr:col>
      <xdr:colOff>542925</xdr:colOff>
      <xdr:row>11</xdr:row>
      <xdr:rowOff>47625</xdr:rowOff>
    </xdr:to>
    <xdr:pic macro="[0]!H_tax_amort">
      <xdr:nvPicPr>
        <xdr:cNvPr id="5" name="Picture 103"/>
        <xdr:cNvPicPr preferRelativeResize="1">
          <a:picLocks noChangeAspect="1"/>
        </xdr:cNvPicPr>
      </xdr:nvPicPr>
      <xdr:blipFill>
        <a:blip r:embed="rId3"/>
        <a:stretch>
          <a:fillRect/>
        </a:stretch>
      </xdr:blipFill>
      <xdr:spPr>
        <a:xfrm>
          <a:off x="4610100" y="1209675"/>
          <a:ext cx="200025" cy="200025"/>
        </a:xfrm>
        <a:prstGeom prst="rect">
          <a:avLst/>
        </a:prstGeom>
        <a:noFill/>
        <a:ln w="9525" cmpd="sng">
          <a:noFill/>
        </a:ln>
      </xdr:spPr>
    </xdr:pic>
    <xdr:clientData fPrintsWithSheet="0"/>
  </xdr:twoCellAnchor>
  <xdr:twoCellAnchor editAs="oneCell">
    <xdr:from>
      <xdr:col>5</xdr:col>
      <xdr:colOff>342900</xdr:colOff>
      <xdr:row>17</xdr:row>
      <xdr:rowOff>9525</xdr:rowOff>
    </xdr:from>
    <xdr:to>
      <xdr:col>5</xdr:col>
      <xdr:colOff>542925</xdr:colOff>
      <xdr:row>18</xdr:row>
      <xdr:rowOff>47625</xdr:rowOff>
    </xdr:to>
    <xdr:pic macro="[0]!H_capital">
      <xdr:nvPicPr>
        <xdr:cNvPr id="6" name="Picture 104"/>
        <xdr:cNvPicPr preferRelativeResize="1">
          <a:picLocks noChangeAspect="1"/>
        </xdr:cNvPicPr>
      </xdr:nvPicPr>
      <xdr:blipFill>
        <a:blip r:embed="rId3"/>
        <a:stretch>
          <a:fillRect/>
        </a:stretch>
      </xdr:blipFill>
      <xdr:spPr>
        <a:xfrm>
          <a:off x="4610100" y="2009775"/>
          <a:ext cx="200025" cy="200025"/>
        </a:xfrm>
        <a:prstGeom prst="rect">
          <a:avLst/>
        </a:prstGeom>
        <a:noFill/>
        <a:ln w="9525" cmpd="sng">
          <a:noFill/>
        </a:ln>
      </xdr:spPr>
    </xdr:pic>
    <xdr:clientData fPrintsWithSheet="0"/>
  </xdr:twoCellAnchor>
  <xdr:twoCellAnchor editAs="oneCell">
    <xdr:from>
      <xdr:col>5</xdr:col>
      <xdr:colOff>342900</xdr:colOff>
      <xdr:row>30</xdr:row>
      <xdr:rowOff>9525</xdr:rowOff>
    </xdr:from>
    <xdr:to>
      <xdr:col>5</xdr:col>
      <xdr:colOff>542925</xdr:colOff>
      <xdr:row>31</xdr:row>
      <xdr:rowOff>47625</xdr:rowOff>
    </xdr:to>
    <xdr:pic macro="[0]!H_terminal">
      <xdr:nvPicPr>
        <xdr:cNvPr id="7" name="Picture 105"/>
        <xdr:cNvPicPr preferRelativeResize="1">
          <a:picLocks noChangeAspect="1"/>
        </xdr:cNvPicPr>
      </xdr:nvPicPr>
      <xdr:blipFill>
        <a:blip r:embed="rId3"/>
        <a:stretch>
          <a:fillRect/>
        </a:stretch>
      </xdr:blipFill>
      <xdr:spPr>
        <a:xfrm>
          <a:off x="4610100" y="3867150"/>
          <a:ext cx="200025" cy="200025"/>
        </a:xfrm>
        <a:prstGeom prst="rect">
          <a:avLst/>
        </a:prstGeom>
        <a:noFill/>
        <a:ln w="9525" cmpd="sng">
          <a:noFill/>
        </a:ln>
      </xdr:spPr>
    </xdr:pic>
    <xdr:clientData fPrintsWithSheet="0"/>
  </xdr:twoCellAnchor>
  <xdr:twoCellAnchor editAs="oneCell">
    <xdr:from>
      <xdr:col>5</xdr:col>
      <xdr:colOff>342900</xdr:colOff>
      <xdr:row>42</xdr:row>
      <xdr:rowOff>9525</xdr:rowOff>
    </xdr:from>
    <xdr:to>
      <xdr:col>5</xdr:col>
      <xdr:colOff>542925</xdr:colOff>
      <xdr:row>43</xdr:row>
      <xdr:rowOff>47625</xdr:rowOff>
    </xdr:to>
    <xdr:pic macro="[0]!H_cis">
      <xdr:nvPicPr>
        <xdr:cNvPr id="8" name="Picture 106"/>
        <xdr:cNvPicPr preferRelativeResize="1">
          <a:picLocks noChangeAspect="1"/>
        </xdr:cNvPicPr>
      </xdr:nvPicPr>
      <xdr:blipFill>
        <a:blip r:embed="rId3"/>
        <a:stretch>
          <a:fillRect/>
        </a:stretch>
      </xdr:blipFill>
      <xdr:spPr>
        <a:xfrm>
          <a:off x="4610100" y="4943475"/>
          <a:ext cx="200025" cy="200025"/>
        </a:xfrm>
        <a:prstGeom prst="rect">
          <a:avLst/>
        </a:prstGeom>
        <a:noFill/>
        <a:ln w="9525" cmpd="sng">
          <a:noFill/>
        </a:ln>
      </xdr:spPr>
    </xdr:pic>
    <xdr:clientData fPrintsWithSheet="0"/>
  </xdr:twoCellAnchor>
  <xdr:twoCellAnchor editAs="oneCell">
    <xdr:from>
      <xdr:col>6</xdr:col>
      <xdr:colOff>276225</xdr:colOff>
      <xdr:row>2</xdr:row>
      <xdr:rowOff>95250</xdr:rowOff>
    </xdr:from>
    <xdr:to>
      <xdr:col>8</xdr:col>
      <xdr:colOff>285750</xdr:colOff>
      <xdr:row>7</xdr:row>
      <xdr:rowOff>104775</xdr:rowOff>
    </xdr:to>
    <xdr:pic macro="[0]!H_Logo_Click">
      <xdr:nvPicPr>
        <xdr:cNvPr id="9" name="Picture 109"/>
        <xdr:cNvPicPr preferRelativeResize="1">
          <a:picLocks noChangeAspect="1"/>
        </xdr:cNvPicPr>
      </xdr:nvPicPr>
      <xdr:blipFill>
        <a:blip r:embed="rId4"/>
        <a:stretch>
          <a:fillRect/>
        </a:stretch>
      </xdr:blipFill>
      <xdr:spPr>
        <a:xfrm>
          <a:off x="5086350" y="352425"/>
          <a:ext cx="1247775" cy="628650"/>
        </a:xfrm>
        <a:prstGeom prst="rect">
          <a:avLst/>
        </a:prstGeom>
        <a:noFill/>
        <a:ln w="9525" cmpd="sng">
          <a:noFill/>
        </a:ln>
      </xdr:spPr>
    </xdr:pic>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5</xdr:row>
      <xdr:rowOff>133350</xdr:rowOff>
    </xdr:from>
    <xdr:to>
      <xdr:col>1</xdr:col>
      <xdr:colOff>209550</xdr:colOff>
      <xdr:row>7</xdr:row>
      <xdr:rowOff>9525</xdr:rowOff>
    </xdr:to>
    <xdr:pic macro="[0]!Insert_TR">
      <xdr:nvPicPr>
        <xdr:cNvPr id="1" name="Picture 168"/>
        <xdr:cNvPicPr preferRelativeResize="1">
          <a:picLocks noChangeAspect="1"/>
        </xdr:cNvPicPr>
      </xdr:nvPicPr>
      <xdr:blipFill>
        <a:blip r:embed="rId1"/>
        <a:stretch>
          <a:fillRect/>
        </a:stretch>
      </xdr:blipFill>
      <xdr:spPr>
        <a:xfrm>
          <a:off x="114300" y="790575"/>
          <a:ext cx="200025" cy="200025"/>
        </a:xfrm>
        <a:prstGeom prst="rect">
          <a:avLst/>
        </a:prstGeom>
        <a:noFill/>
        <a:ln w="9525" cmpd="sng">
          <a:noFill/>
        </a:ln>
      </xdr:spPr>
    </xdr:pic>
    <xdr:clientData fPrintsWithSheet="0"/>
  </xdr:twoCellAnchor>
  <xdr:twoCellAnchor editAs="oneCell">
    <xdr:from>
      <xdr:col>1</xdr:col>
      <xdr:colOff>228600</xdr:colOff>
      <xdr:row>5</xdr:row>
      <xdr:rowOff>133350</xdr:rowOff>
    </xdr:from>
    <xdr:to>
      <xdr:col>1</xdr:col>
      <xdr:colOff>428625</xdr:colOff>
      <xdr:row>7</xdr:row>
      <xdr:rowOff>9525</xdr:rowOff>
    </xdr:to>
    <xdr:pic macro="[0]!Delete_TR">
      <xdr:nvPicPr>
        <xdr:cNvPr id="2" name="Picture 169"/>
        <xdr:cNvPicPr preferRelativeResize="1">
          <a:picLocks noChangeAspect="1"/>
        </xdr:cNvPicPr>
      </xdr:nvPicPr>
      <xdr:blipFill>
        <a:blip r:embed="rId2"/>
        <a:stretch>
          <a:fillRect/>
        </a:stretch>
      </xdr:blipFill>
      <xdr:spPr>
        <a:xfrm>
          <a:off x="333375" y="790575"/>
          <a:ext cx="200025" cy="200025"/>
        </a:xfrm>
        <a:prstGeom prst="rect">
          <a:avLst/>
        </a:prstGeom>
        <a:noFill/>
        <a:ln w="9525" cmpd="sng">
          <a:noFill/>
        </a:ln>
      </xdr:spPr>
    </xdr:pic>
    <xdr:clientData fPrintsWithSheet="0"/>
  </xdr:twoCellAnchor>
  <xdr:twoCellAnchor editAs="oneCell">
    <xdr:from>
      <xdr:col>1</xdr:col>
      <xdr:colOff>9525</xdr:colOff>
      <xdr:row>9</xdr:row>
      <xdr:rowOff>142875</xdr:rowOff>
    </xdr:from>
    <xdr:to>
      <xdr:col>1</xdr:col>
      <xdr:colOff>209550</xdr:colOff>
      <xdr:row>11</xdr:row>
      <xdr:rowOff>19050</xdr:rowOff>
    </xdr:to>
    <xdr:pic macro="[0]!Insert_NTR">
      <xdr:nvPicPr>
        <xdr:cNvPr id="3" name="Picture 170"/>
        <xdr:cNvPicPr preferRelativeResize="1">
          <a:picLocks noChangeAspect="1"/>
        </xdr:cNvPicPr>
      </xdr:nvPicPr>
      <xdr:blipFill>
        <a:blip r:embed="rId1"/>
        <a:stretch>
          <a:fillRect/>
        </a:stretch>
      </xdr:blipFill>
      <xdr:spPr>
        <a:xfrm>
          <a:off x="114300" y="1371600"/>
          <a:ext cx="200025" cy="200025"/>
        </a:xfrm>
        <a:prstGeom prst="rect">
          <a:avLst/>
        </a:prstGeom>
        <a:noFill/>
        <a:ln w="9525" cmpd="sng">
          <a:noFill/>
        </a:ln>
      </xdr:spPr>
    </xdr:pic>
    <xdr:clientData fPrintsWithSheet="0"/>
  </xdr:twoCellAnchor>
  <xdr:twoCellAnchor editAs="oneCell">
    <xdr:from>
      <xdr:col>1</xdr:col>
      <xdr:colOff>228600</xdr:colOff>
      <xdr:row>9</xdr:row>
      <xdr:rowOff>142875</xdr:rowOff>
    </xdr:from>
    <xdr:to>
      <xdr:col>1</xdr:col>
      <xdr:colOff>428625</xdr:colOff>
      <xdr:row>11</xdr:row>
      <xdr:rowOff>19050</xdr:rowOff>
    </xdr:to>
    <xdr:pic macro="[0]!Delete_NTR">
      <xdr:nvPicPr>
        <xdr:cNvPr id="4" name="Picture 171"/>
        <xdr:cNvPicPr preferRelativeResize="1">
          <a:picLocks noChangeAspect="1"/>
        </xdr:cNvPicPr>
      </xdr:nvPicPr>
      <xdr:blipFill>
        <a:blip r:embed="rId2"/>
        <a:stretch>
          <a:fillRect/>
        </a:stretch>
      </xdr:blipFill>
      <xdr:spPr>
        <a:xfrm>
          <a:off x="333375" y="1371600"/>
          <a:ext cx="200025" cy="200025"/>
        </a:xfrm>
        <a:prstGeom prst="rect">
          <a:avLst/>
        </a:prstGeom>
        <a:noFill/>
        <a:ln w="9525" cmpd="sng">
          <a:noFill/>
        </a:ln>
      </xdr:spPr>
    </xdr:pic>
    <xdr:clientData fPrintsWithSheet="0"/>
  </xdr:twoCellAnchor>
  <xdr:twoCellAnchor editAs="oneCell">
    <xdr:from>
      <xdr:col>1</xdr:col>
      <xdr:colOff>9525</xdr:colOff>
      <xdr:row>13</xdr:row>
      <xdr:rowOff>123825</xdr:rowOff>
    </xdr:from>
    <xdr:to>
      <xdr:col>1</xdr:col>
      <xdr:colOff>209550</xdr:colOff>
      <xdr:row>15</xdr:row>
      <xdr:rowOff>0</xdr:rowOff>
    </xdr:to>
    <xdr:pic macro="[0]!Insert_CE">
      <xdr:nvPicPr>
        <xdr:cNvPr id="5" name="Picture 172"/>
        <xdr:cNvPicPr preferRelativeResize="1">
          <a:picLocks noChangeAspect="1"/>
        </xdr:cNvPicPr>
      </xdr:nvPicPr>
      <xdr:blipFill>
        <a:blip r:embed="rId1"/>
        <a:stretch>
          <a:fillRect/>
        </a:stretch>
      </xdr:blipFill>
      <xdr:spPr>
        <a:xfrm>
          <a:off x="114300" y="1914525"/>
          <a:ext cx="200025" cy="200025"/>
        </a:xfrm>
        <a:prstGeom prst="rect">
          <a:avLst/>
        </a:prstGeom>
        <a:noFill/>
        <a:ln w="9525" cmpd="sng">
          <a:noFill/>
        </a:ln>
      </xdr:spPr>
    </xdr:pic>
    <xdr:clientData fPrintsWithSheet="0"/>
  </xdr:twoCellAnchor>
  <xdr:twoCellAnchor editAs="oneCell">
    <xdr:from>
      <xdr:col>1</xdr:col>
      <xdr:colOff>228600</xdr:colOff>
      <xdr:row>13</xdr:row>
      <xdr:rowOff>123825</xdr:rowOff>
    </xdr:from>
    <xdr:to>
      <xdr:col>1</xdr:col>
      <xdr:colOff>428625</xdr:colOff>
      <xdr:row>15</xdr:row>
      <xdr:rowOff>0</xdr:rowOff>
    </xdr:to>
    <xdr:pic macro="[0]!Delete_CE">
      <xdr:nvPicPr>
        <xdr:cNvPr id="6" name="Picture 173"/>
        <xdr:cNvPicPr preferRelativeResize="1">
          <a:picLocks noChangeAspect="1"/>
        </xdr:cNvPicPr>
      </xdr:nvPicPr>
      <xdr:blipFill>
        <a:blip r:embed="rId2"/>
        <a:stretch>
          <a:fillRect/>
        </a:stretch>
      </xdr:blipFill>
      <xdr:spPr>
        <a:xfrm>
          <a:off x="333375" y="1914525"/>
          <a:ext cx="200025" cy="200025"/>
        </a:xfrm>
        <a:prstGeom prst="rect">
          <a:avLst/>
        </a:prstGeom>
        <a:noFill/>
        <a:ln w="9525" cmpd="sng">
          <a:noFill/>
        </a:ln>
      </xdr:spPr>
    </xdr:pic>
    <xdr:clientData fPrintsWithSheet="0"/>
  </xdr:twoCellAnchor>
  <xdr:twoCellAnchor editAs="oneCell">
    <xdr:from>
      <xdr:col>11</xdr:col>
      <xdr:colOff>600075</xdr:colOff>
      <xdr:row>42</xdr:row>
      <xdr:rowOff>85725</xdr:rowOff>
    </xdr:from>
    <xdr:to>
      <xdr:col>13</xdr:col>
      <xdr:colOff>323850</xdr:colOff>
      <xdr:row>44</xdr:row>
      <xdr:rowOff>133350</xdr:rowOff>
    </xdr:to>
    <xdr:pic macro="[0]!Clear_Input">
      <xdr:nvPicPr>
        <xdr:cNvPr id="7" name="Picture 174"/>
        <xdr:cNvPicPr preferRelativeResize="1">
          <a:picLocks noChangeAspect="1"/>
        </xdr:cNvPicPr>
      </xdr:nvPicPr>
      <xdr:blipFill>
        <a:blip r:embed="rId3"/>
        <a:stretch>
          <a:fillRect/>
        </a:stretch>
      </xdr:blipFill>
      <xdr:spPr>
        <a:xfrm>
          <a:off x="7067550" y="6105525"/>
          <a:ext cx="1019175" cy="304800"/>
        </a:xfrm>
        <a:prstGeom prst="rect">
          <a:avLst/>
        </a:prstGeom>
        <a:noFill/>
        <a:ln w="9525" cmpd="sng">
          <a:noFill/>
        </a:ln>
      </xdr:spPr>
    </xdr:pic>
    <xdr:clientData/>
  </xdr:twoCellAnchor>
  <xdr:twoCellAnchor editAs="oneCell">
    <xdr:from>
      <xdr:col>2</xdr:col>
      <xdr:colOff>1390650</xdr:colOff>
      <xdr:row>4</xdr:row>
      <xdr:rowOff>123825</xdr:rowOff>
    </xdr:from>
    <xdr:to>
      <xdr:col>2</xdr:col>
      <xdr:colOff>1590675</xdr:colOff>
      <xdr:row>6</xdr:row>
      <xdr:rowOff>0</xdr:rowOff>
    </xdr:to>
    <xdr:pic macro="[0]!H_taxrev">
      <xdr:nvPicPr>
        <xdr:cNvPr id="8" name="Picture 175"/>
        <xdr:cNvPicPr preferRelativeResize="1">
          <a:picLocks noChangeAspect="1"/>
        </xdr:cNvPicPr>
      </xdr:nvPicPr>
      <xdr:blipFill>
        <a:blip r:embed="rId4"/>
        <a:stretch>
          <a:fillRect/>
        </a:stretch>
      </xdr:blipFill>
      <xdr:spPr>
        <a:xfrm>
          <a:off x="1924050" y="619125"/>
          <a:ext cx="200025" cy="200025"/>
        </a:xfrm>
        <a:prstGeom prst="rect">
          <a:avLst/>
        </a:prstGeom>
        <a:noFill/>
        <a:ln w="9525" cmpd="sng">
          <a:noFill/>
        </a:ln>
      </xdr:spPr>
    </xdr:pic>
    <xdr:clientData fPrintsWithSheet="0"/>
  </xdr:twoCellAnchor>
  <xdr:twoCellAnchor editAs="oneCell">
    <xdr:from>
      <xdr:col>2</xdr:col>
      <xdr:colOff>1390650</xdr:colOff>
      <xdr:row>8</xdr:row>
      <xdr:rowOff>38100</xdr:rowOff>
    </xdr:from>
    <xdr:to>
      <xdr:col>2</xdr:col>
      <xdr:colOff>1590675</xdr:colOff>
      <xdr:row>9</xdr:row>
      <xdr:rowOff>152400</xdr:rowOff>
    </xdr:to>
    <xdr:pic macro="[0]!H_nontaxrev">
      <xdr:nvPicPr>
        <xdr:cNvPr id="9" name="Picture 176"/>
        <xdr:cNvPicPr preferRelativeResize="1">
          <a:picLocks noChangeAspect="1"/>
        </xdr:cNvPicPr>
      </xdr:nvPicPr>
      <xdr:blipFill>
        <a:blip r:embed="rId4"/>
        <a:stretch>
          <a:fillRect/>
        </a:stretch>
      </xdr:blipFill>
      <xdr:spPr>
        <a:xfrm>
          <a:off x="1924050" y="1181100"/>
          <a:ext cx="200025" cy="200025"/>
        </a:xfrm>
        <a:prstGeom prst="rect">
          <a:avLst/>
        </a:prstGeom>
        <a:noFill/>
        <a:ln w="9525" cmpd="sng">
          <a:noFill/>
        </a:ln>
      </xdr:spPr>
    </xdr:pic>
    <xdr:clientData fPrintsWithSheet="0"/>
  </xdr:twoCellAnchor>
  <xdr:twoCellAnchor editAs="oneCell">
    <xdr:from>
      <xdr:col>2</xdr:col>
      <xdr:colOff>1390650</xdr:colOff>
      <xdr:row>12</xdr:row>
      <xdr:rowOff>38100</xdr:rowOff>
    </xdr:from>
    <xdr:to>
      <xdr:col>2</xdr:col>
      <xdr:colOff>1590675</xdr:colOff>
      <xdr:row>14</xdr:row>
      <xdr:rowOff>0</xdr:rowOff>
    </xdr:to>
    <xdr:pic macro="[0]!H_operexp">
      <xdr:nvPicPr>
        <xdr:cNvPr id="10" name="Picture 177"/>
        <xdr:cNvPicPr preferRelativeResize="1">
          <a:picLocks noChangeAspect="1"/>
        </xdr:cNvPicPr>
      </xdr:nvPicPr>
      <xdr:blipFill>
        <a:blip r:embed="rId4"/>
        <a:stretch>
          <a:fillRect/>
        </a:stretch>
      </xdr:blipFill>
      <xdr:spPr>
        <a:xfrm>
          <a:off x="1924050" y="1752600"/>
          <a:ext cx="200025" cy="200025"/>
        </a:xfrm>
        <a:prstGeom prst="rect">
          <a:avLst/>
        </a:prstGeom>
        <a:noFill/>
        <a:ln w="9525" cmpd="sng">
          <a:noFill/>
        </a:ln>
      </xdr:spPr>
    </xdr:pic>
    <xdr:clientData fPrintsWithSheet="0"/>
  </xdr:twoCellAnchor>
  <xdr:twoCellAnchor editAs="oneCell">
    <xdr:from>
      <xdr:col>2</xdr:col>
      <xdr:colOff>1390650</xdr:colOff>
      <xdr:row>16</xdr:row>
      <xdr:rowOff>28575</xdr:rowOff>
    </xdr:from>
    <xdr:to>
      <xdr:col>2</xdr:col>
      <xdr:colOff>1590675</xdr:colOff>
      <xdr:row>17</xdr:row>
      <xdr:rowOff>142875</xdr:rowOff>
    </xdr:to>
    <xdr:pic macro="[0]!H_investexp">
      <xdr:nvPicPr>
        <xdr:cNvPr id="11" name="Picture 178"/>
        <xdr:cNvPicPr preferRelativeResize="1">
          <a:picLocks noChangeAspect="1"/>
        </xdr:cNvPicPr>
      </xdr:nvPicPr>
      <xdr:blipFill>
        <a:blip r:embed="rId4"/>
        <a:stretch>
          <a:fillRect/>
        </a:stretch>
      </xdr:blipFill>
      <xdr:spPr>
        <a:xfrm>
          <a:off x="1924050" y="2305050"/>
          <a:ext cx="200025" cy="200025"/>
        </a:xfrm>
        <a:prstGeom prst="rect">
          <a:avLst/>
        </a:prstGeom>
        <a:noFill/>
        <a:ln w="9525" cmpd="sng">
          <a:noFill/>
        </a:ln>
      </xdr:spPr>
    </xdr:pic>
    <xdr:clientData fPrintsWithSheet="0"/>
  </xdr:twoCellAnchor>
  <xdr:twoCellAnchor editAs="oneCell">
    <xdr:from>
      <xdr:col>2</xdr:col>
      <xdr:colOff>1390650</xdr:colOff>
      <xdr:row>21</xdr:row>
      <xdr:rowOff>57150</xdr:rowOff>
    </xdr:from>
    <xdr:to>
      <xdr:col>2</xdr:col>
      <xdr:colOff>1590675</xdr:colOff>
      <xdr:row>23</xdr:row>
      <xdr:rowOff>9525</xdr:rowOff>
    </xdr:to>
    <xdr:pic macro="[0]!H_existassets">
      <xdr:nvPicPr>
        <xdr:cNvPr id="12" name="Picture 179"/>
        <xdr:cNvPicPr preferRelativeResize="1">
          <a:picLocks noChangeAspect="1"/>
        </xdr:cNvPicPr>
      </xdr:nvPicPr>
      <xdr:blipFill>
        <a:blip r:embed="rId4"/>
        <a:stretch>
          <a:fillRect/>
        </a:stretch>
      </xdr:blipFill>
      <xdr:spPr>
        <a:xfrm>
          <a:off x="1924050" y="3067050"/>
          <a:ext cx="200025" cy="200025"/>
        </a:xfrm>
        <a:prstGeom prst="rect">
          <a:avLst/>
        </a:prstGeom>
        <a:noFill/>
        <a:ln w="9525" cmpd="sng">
          <a:noFill/>
        </a:ln>
      </xdr:spPr>
    </xdr:pic>
    <xdr:clientData fPrintsWithSheet="0"/>
  </xdr:twoCellAnchor>
  <xdr:twoCellAnchor editAs="oneCell">
    <xdr:from>
      <xdr:col>2</xdr:col>
      <xdr:colOff>1390650</xdr:colOff>
      <xdr:row>29</xdr:row>
      <xdr:rowOff>47625</xdr:rowOff>
    </xdr:from>
    <xdr:to>
      <xdr:col>2</xdr:col>
      <xdr:colOff>1590675</xdr:colOff>
      <xdr:row>31</xdr:row>
      <xdr:rowOff>0</xdr:rowOff>
    </xdr:to>
    <xdr:pic macro="[0]!H_capex">
      <xdr:nvPicPr>
        <xdr:cNvPr id="13" name="Picture 180"/>
        <xdr:cNvPicPr preferRelativeResize="1">
          <a:picLocks noChangeAspect="1"/>
        </xdr:cNvPicPr>
      </xdr:nvPicPr>
      <xdr:blipFill>
        <a:blip r:embed="rId4"/>
        <a:stretch>
          <a:fillRect/>
        </a:stretch>
      </xdr:blipFill>
      <xdr:spPr>
        <a:xfrm>
          <a:off x="1924050" y="4276725"/>
          <a:ext cx="200025" cy="200025"/>
        </a:xfrm>
        <a:prstGeom prst="rect">
          <a:avLst/>
        </a:prstGeom>
        <a:noFill/>
        <a:ln w="9525" cmpd="sng">
          <a:noFill/>
        </a:ln>
      </xdr:spPr>
    </xdr:pic>
    <xdr:clientData fPrintsWithSheet="0"/>
  </xdr:twoCellAnchor>
  <xdr:twoCellAnchor editAs="oneCell">
    <xdr:from>
      <xdr:col>6</xdr:col>
      <xdr:colOff>457200</xdr:colOff>
      <xdr:row>22</xdr:row>
      <xdr:rowOff>9525</xdr:rowOff>
    </xdr:from>
    <xdr:to>
      <xdr:col>6</xdr:col>
      <xdr:colOff>600075</xdr:colOff>
      <xdr:row>22</xdr:row>
      <xdr:rowOff>152400</xdr:rowOff>
    </xdr:to>
    <xdr:pic macro="[0]!H_existasset">
      <xdr:nvPicPr>
        <xdr:cNvPr id="14" name="Picture 181"/>
        <xdr:cNvPicPr preferRelativeResize="1">
          <a:picLocks noChangeAspect="1"/>
        </xdr:cNvPicPr>
      </xdr:nvPicPr>
      <xdr:blipFill>
        <a:blip r:embed="rId4"/>
        <a:stretch>
          <a:fillRect/>
        </a:stretch>
      </xdr:blipFill>
      <xdr:spPr>
        <a:xfrm>
          <a:off x="3876675" y="3105150"/>
          <a:ext cx="142875" cy="142875"/>
        </a:xfrm>
        <a:prstGeom prst="rect">
          <a:avLst/>
        </a:prstGeom>
        <a:noFill/>
        <a:ln w="9525" cmpd="sng">
          <a:noFill/>
        </a:ln>
      </xdr:spPr>
    </xdr:pic>
    <xdr:clientData fPrintsWithSheet="0"/>
  </xdr:twoCellAnchor>
  <xdr:twoCellAnchor editAs="oneCell">
    <xdr:from>
      <xdr:col>9</xdr:col>
      <xdr:colOff>457200</xdr:colOff>
      <xdr:row>22</xdr:row>
      <xdr:rowOff>9525</xdr:rowOff>
    </xdr:from>
    <xdr:to>
      <xdr:col>9</xdr:col>
      <xdr:colOff>600075</xdr:colOff>
      <xdr:row>22</xdr:row>
      <xdr:rowOff>152400</xdr:rowOff>
    </xdr:to>
    <xdr:pic macro="[0]!H_existactg">
      <xdr:nvPicPr>
        <xdr:cNvPr id="15" name="Picture 182"/>
        <xdr:cNvPicPr preferRelativeResize="1">
          <a:picLocks noChangeAspect="1"/>
        </xdr:cNvPicPr>
      </xdr:nvPicPr>
      <xdr:blipFill>
        <a:blip r:embed="rId4"/>
        <a:stretch>
          <a:fillRect/>
        </a:stretch>
      </xdr:blipFill>
      <xdr:spPr>
        <a:xfrm>
          <a:off x="5705475" y="3105150"/>
          <a:ext cx="142875" cy="142875"/>
        </a:xfrm>
        <a:prstGeom prst="rect">
          <a:avLst/>
        </a:prstGeom>
        <a:noFill/>
        <a:ln w="9525" cmpd="sng">
          <a:noFill/>
        </a:ln>
      </xdr:spPr>
    </xdr:pic>
    <xdr:clientData fPrintsWithSheet="0"/>
  </xdr:twoCellAnchor>
  <xdr:twoCellAnchor editAs="oneCell">
    <xdr:from>
      <xdr:col>12</xdr:col>
      <xdr:colOff>533400</xdr:colOff>
      <xdr:row>22</xdr:row>
      <xdr:rowOff>9525</xdr:rowOff>
    </xdr:from>
    <xdr:to>
      <xdr:col>12</xdr:col>
      <xdr:colOff>676275</xdr:colOff>
      <xdr:row>22</xdr:row>
      <xdr:rowOff>152400</xdr:rowOff>
    </xdr:to>
    <xdr:pic macro="[0]!H_existtax">
      <xdr:nvPicPr>
        <xdr:cNvPr id="16" name="Picture 183"/>
        <xdr:cNvPicPr preferRelativeResize="1">
          <a:picLocks noChangeAspect="1"/>
        </xdr:cNvPicPr>
      </xdr:nvPicPr>
      <xdr:blipFill>
        <a:blip r:embed="rId4"/>
        <a:stretch>
          <a:fillRect/>
        </a:stretch>
      </xdr:blipFill>
      <xdr:spPr>
        <a:xfrm>
          <a:off x="7610475" y="3105150"/>
          <a:ext cx="142875" cy="142875"/>
        </a:xfrm>
        <a:prstGeom prst="rect">
          <a:avLst/>
        </a:prstGeom>
        <a:noFill/>
        <a:ln w="9525" cmpd="sng">
          <a:noFill/>
        </a:ln>
      </xdr:spPr>
    </xdr:pic>
    <xdr:clientData fPrintsWithSheet="0"/>
  </xdr:twoCellAnchor>
  <xdr:twoCellAnchor editAs="oneCell">
    <xdr:from>
      <xdr:col>13</xdr:col>
      <xdr:colOff>533400</xdr:colOff>
      <xdr:row>22</xdr:row>
      <xdr:rowOff>9525</xdr:rowOff>
    </xdr:from>
    <xdr:to>
      <xdr:col>13</xdr:col>
      <xdr:colOff>676275</xdr:colOff>
      <xdr:row>22</xdr:row>
      <xdr:rowOff>152400</xdr:rowOff>
    </xdr:to>
    <xdr:pic macro="[0]!H_existgdwl">
      <xdr:nvPicPr>
        <xdr:cNvPr id="17" name="Picture 184"/>
        <xdr:cNvPicPr preferRelativeResize="1">
          <a:picLocks noChangeAspect="1"/>
        </xdr:cNvPicPr>
      </xdr:nvPicPr>
      <xdr:blipFill>
        <a:blip r:embed="rId4"/>
        <a:stretch>
          <a:fillRect/>
        </a:stretch>
      </xdr:blipFill>
      <xdr:spPr>
        <a:xfrm>
          <a:off x="8296275" y="3105150"/>
          <a:ext cx="142875" cy="142875"/>
        </a:xfrm>
        <a:prstGeom prst="rect">
          <a:avLst/>
        </a:prstGeom>
        <a:noFill/>
        <a:ln w="9525" cmpd="sng">
          <a:noFill/>
        </a:ln>
      </xdr:spPr>
    </xdr:pic>
    <xdr:clientData fPrintsWithSheet="0"/>
  </xdr:twoCellAnchor>
  <xdr:twoCellAnchor editAs="oneCell">
    <xdr:from>
      <xdr:col>8</xdr:col>
      <xdr:colOff>457200</xdr:colOff>
      <xdr:row>30</xdr:row>
      <xdr:rowOff>9525</xdr:rowOff>
    </xdr:from>
    <xdr:to>
      <xdr:col>8</xdr:col>
      <xdr:colOff>600075</xdr:colOff>
      <xdr:row>30</xdr:row>
      <xdr:rowOff>152400</xdr:rowOff>
    </xdr:to>
    <xdr:pic macro="[0]!H_newasset">
      <xdr:nvPicPr>
        <xdr:cNvPr id="18" name="Picture 185"/>
        <xdr:cNvPicPr preferRelativeResize="1">
          <a:picLocks noChangeAspect="1"/>
        </xdr:cNvPicPr>
      </xdr:nvPicPr>
      <xdr:blipFill>
        <a:blip r:embed="rId4"/>
        <a:stretch>
          <a:fillRect/>
        </a:stretch>
      </xdr:blipFill>
      <xdr:spPr>
        <a:xfrm>
          <a:off x="5095875" y="4324350"/>
          <a:ext cx="142875" cy="142875"/>
        </a:xfrm>
        <a:prstGeom prst="rect">
          <a:avLst/>
        </a:prstGeom>
        <a:noFill/>
        <a:ln w="9525" cmpd="sng">
          <a:noFill/>
        </a:ln>
      </xdr:spPr>
    </xdr:pic>
    <xdr:clientData fPrintsWithSheet="0"/>
  </xdr:twoCellAnchor>
  <xdr:twoCellAnchor editAs="oneCell">
    <xdr:from>
      <xdr:col>10</xdr:col>
      <xdr:colOff>457200</xdr:colOff>
      <xdr:row>30</xdr:row>
      <xdr:rowOff>9525</xdr:rowOff>
    </xdr:from>
    <xdr:to>
      <xdr:col>10</xdr:col>
      <xdr:colOff>600075</xdr:colOff>
      <xdr:row>30</xdr:row>
      <xdr:rowOff>152400</xdr:rowOff>
    </xdr:to>
    <xdr:pic macro="[0]!H_newactg">
      <xdr:nvPicPr>
        <xdr:cNvPr id="19" name="Picture 186"/>
        <xdr:cNvPicPr preferRelativeResize="1">
          <a:picLocks noChangeAspect="1"/>
        </xdr:cNvPicPr>
      </xdr:nvPicPr>
      <xdr:blipFill>
        <a:blip r:embed="rId4"/>
        <a:stretch>
          <a:fillRect/>
        </a:stretch>
      </xdr:blipFill>
      <xdr:spPr>
        <a:xfrm>
          <a:off x="6315075" y="4324350"/>
          <a:ext cx="142875" cy="142875"/>
        </a:xfrm>
        <a:prstGeom prst="rect">
          <a:avLst/>
        </a:prstGeom>
        <a:noFill/>
        <a:ln w="9525" cmpd="sng">
          <a:noFill/>
        </a:ln>
      </xdr:spPr>
    </xdr:pic>
    <xdr:clientData fPrintsWithSheet="0"/>
  </xdr:twoCellAnchor>
  <xdr:twoCellAnchor editAs="oneCell">
    <xdr:from>
      <xdr:col>12</xdr:col>
      <xdr:colOff>542925</xdr:colOff>
      <xdr:row>30</xdr:row>
      <xdr:rowOff>9525</xdr:rowOff>
    </xdr:from>
    <xdr:to>
      <xdr:col>12</xdr:col>
      <xdr:colOff>685800</xdr:colOff>
      <xdr:row>30</xdr:row>
      <xdr:rowOff>152400</xdr:rowOff>
    </xdr:to>
    <xdr:pic macro="[0]!H_newtax">
      <xdr:nvPicPr>
        <xdr:cNvPr id="20" name="Picture 187"/>
        <xdr:cNvPicPr preferRelativeResize="1">
          <a:picLocks noChangeAspect="1"/>
        </xdr:cNvPicPr>
      </xdr:nvPicPr>
      <xdr:blipFill>
        <a:blip r:embed="rId4"/>
        <a:stretch>
          <a:fillRect/>
        </a:stretch>
      </xdr:blipFill>
      <xdr:spPr>
        <a:xfrm>
          <a:off x="7620000" y="4324350"/>
          <a:ext cx="142875" cy="142875"/>
        </a:xfrm>
        <a:prstGeom prst="rect">
          <a:avLst/>
        </a:prstGeom>
        <a:noFill/>
        <a:ln w="9525" cmpd="sng">
          <a:noFill/>
        </a:ln>
      </xdr:spPr>
    </xdr:pic>
    <xdr:clientData fPrintsWithSheet="0"/>
  </xdr:twoCellAnchor>
  <xdr:twoCellAnchor editAs="oneCell">
    <xdr:from>
      <xdr:col>13</xdr:col>
      <xdr:colOff>533400</xdr:colOff>
      <xdr:row>30</xdr:row>
      <xdr:rowOff>9525</xdr:rowOff>
    </xdr:from>
    <xdr:to>
      <xdr:col>13</xdr:col>
      <xdr:colOff>676275</xdr:colOff>
      <xdr:row>30</xdr:row>
      <xdr:rowOff>152400</xdr:rowOff>
    </xdr:to>
    <xdr:pic macro="[0]!H_equityfund">
      <xdr:nvPicPr>
        <xdr:cNvPr id="21" name="Picture 188"/>
        <xdr:cNvPicPr preferRelativeResize="1">
          <a:picLocks noChangeAspect="1"/>
        </xdr:cNvPicPr>
      </xdr:nvPicPr>
      <xdr:blipFill>
        <a:blip r:embed="rId4"/>
        <a:stretch>
          <a:fillRect/>
        </a:stretch>
      </xdr:blipFill>
      <xdr:spPr>
        <a:xfrm>
          <a:off x="8296275" y="4324350"/>
          <a:ext cx="142875" cy="142875"/>
        </a:xfrm>
        <a:prstGeom prst="rect">
          <a:avLst/>
        </a:prstGeom>
        <a:noFill/>
        <a:ln w="9525" cmpd="sng">
          <a:noFill/>
        </a:ln>
      </xdr:spPr>
    </xdr:pic>
    <xdr:clientData fPrintsWithSheet="0"/>
  </xdr:twoCellAnchor>
  <xdr:twoCellAnchor editAs="oneCell">
    <xdr:from>
      <xdr:col>13</xdr:col>
      <xdr:colOff>542925</xdr:colOff>
      <xdr:row>39</xdr:row>
      <xdr:rowOff>0</xdr:rowOff>
    </xdr:from>
    <xdr:to>
      <xdr:col>14</xdr:col>
      <xdr:colOff>47625</xdr:colOff>
      <xdr:row>40</xdr:row>
      <xdr:rowOff>0</xdr:rowOff>
    </xdr:to>
    <xdr:pic macro="[0]!H_financialanalysis">
      <xdr:nvPicPr>
        <xdr:cNvPr id="22" name="Picture 189"/>
        <xdr:cNvPicPr preferRelativeResize="1">
          <a:picLocks noChangeAspect="1"/>
        </xdr:cNvPicPr>
      </xdr:nvPicPr>
      <xdr:blipFill>
        <a:blip r:embed="rId5"/>
        <a:stretch>
          <a:fillRect/>
        </a:stretch>
      </xdr:blipFill>
      <xdr:spPr>
        <a:xfrm>
          <a:off x="8305800" y="5600700"/>
          <a:ext cx="190500" cy="190500"/>
        </a:xfrm>
        <a:prstGeom prst="rect">
          <a:avLst/>
        </a:prstGeom>
        <a:noFill/>
        <a:ln w="9525" cmpd="sng">
          <a:noFill/>
        </a:ln>
      </xdr:spPr>
    </xdr:pic>
    <xdr:clientData fPrintsWithSheet="0"/>
  </xdr:twoCellAnchor>
  <xdr:twoCellAnchor editAs="oneCell">
    <xdr:from>
      <xdr:col>11</xdr:col>
      <xdr:colOff>600075</xdr:colOff>
      <xdr:row>53</xdr:row>
      <xdr:rowOff>19050</xdr:rowOff>
    </xdr:from>
    <xdr:to>
      <xdr:col>13</xdr:col>
      <xdr:colOff>323850</xdr:colOff>
      <xdr:row>55</xdr:row>
      <xdr:rowOff>95250</xdr:rowOff>
    </xdr:to>
    <xdr:pic macro="[0]!nxt_before">
      <xdr:nvPicPr>
        <xdr:cNvPr id="23" name="Picture 191"/>
        <xdr:cNvPicPr preferRelativeResize="1">
          <a:picLocks noChangeAspect="1"/>
        </xdr:cNvPicPr>
      </xdr:nvPicPr>
      <xdr:blipFill>
        <a:blip r:embed="rId6"/>
        <a:stretch>
          <a:fillRect/>
        </a:stretch>
      </xdr:blipFill>
      <xdr:spPr>
        <a:xfrm>
          <a:off x="7067550" y="7534275"/>
          <a:ext cx="1019175" cy="304800"/>
        </a:xfrm>
        <a:prstGeom prst="rect">
          <a:avLst/>
        </a:prstGeom>
        <a:noFill/>
        <a:ln w="9525" cmpd="sng">
          <a:noFill/>
        </a:ln>
      </xdr:spPr>
    </xdr:pic>
    <xdr:clientData fPrintsWithSheet="0"/>
  </xdr:twoCellAnchor>
  <xdr:twoCellAnchor editAs="oneCell">
    <xdr:from>
      <xdr:col>11</xdr:col>
      <xdr:colOff>476250</xdr:colOff>
      <xdr:row>47</xdr:row>
      <xdr:rowOff>0</xdr:rowOff>
    </xdr:from>
    <xdr:to>
      <xdr:col>13</xdr:col>
      <xdr:colOff>428625</xdr:colOff>
      <xdr:row>51</xdr:row>
      <xdr:rowOff>85725</xdr:rowOff>
    </xdr:to>
    <xdr:pic macro="[0]!H_Logo_Click">
      <xdr:nvPicPr>
        <xdr:cNvPr id="24" name="Picture 194"/>
        <xdr:cNvPicPr preferRelativeResize="1">
          <a:picLocks noChangeAspect="1"/>
        </xdr:cNvPicPr>
      </xdr:nvPicPr>
      <xdr:blipFill>
        <a:blip r:embed="rId7"/>
        <a:stretch>
          <a:fillRect/>
        </a:stretch>
      </xdr:blipFill>
      <xdr:spPr>
        <a:xfrm>
          <a:off x="6943725" y="6657975"/>
          <a:ext cx="1247775" cy="628650"/>
        </a:xfrm>
        <a:prstGeom prst="rect">
          <a:avLst/>
        </a:prstGeom>
        <a:noFill/>
        <a:ln w="9525" cmpd="sng">
          <a:noFill/>
        </a:ln>
      </xdr:spPr>
    </xdr:pic>
    <xdr:clientData fPrint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5</xdr:row>
      <xdr:rowOff>133350</xdr:rowOff>
    </xdr:from>
    <xdr:to>
      <xdr:col>1</xdr:col>
      <xdr:colOff>209550</xdr:colOff>
      <xdr:row>7</xdr:row>
      <xdr:rowOff>9525</xdr:rowOff>
    </xdr:to>
    <xdr:pic macro="[0]!Insert_TR">
      <xdr:nvPicPr>
        <xdr:cNvPr id="1" name="Picture 97"/>
        <xdr:cNvPicPr preferRelativeResize="1">
          <a:picLocks noChangeAspect="1"/>
        </xdr:cNvPicPr>
      </xdr:nvPicPr>
      <xdr:blipFill>
        <a:blip r:embed="rId1"/>
        <a:stretch>
          <a:fillRect/>
        </a:stretch>
      </xdr:blipFill>
      <xdr:spPr>
        <a:xfrm>
          <a:off x="114300" y="790575"/>
          <a:ext cx="200025" cy="200025"/>
        </a:xfrm>
        <a:prstGeom prst="rect">
          <a:avLst/>
        </a:prstGeom>
        <a:noFill/>
        <a:ln w="9525" cmpd="sng">
          <a:noFill/>
        </a:ln>
      </xdr:spPr>
    </xdr:pic>
    <xdr:clientData fPrintsWithSheet="0"/>
  </xdr:twoCellAnchor>
  <xdr:twoCellAnchor editAs="oneCell">
    <xdr:from>
      <xdr:col>1</xdr:col>
      <xdr:colOff>228600</xdr:colOff>
      <xdr:row>5</xdr:row>
      <xdr:rowOff>133350</xdr:rowOff>
    </xdr:from>
    <xdr:to>
      <xdr:col>1</xdr:col>
      <xdr:colOff>428625</xdr:colOff>
      <xdr:row>7</xdr:row>
      <xdr:rowOff>9525</xdr:rowOff>
    </xdr:to>
    <xdr:pic macro="[0]!Delete_TR">
      <xdr:nvPicPr>
        <xdr:cNvPr id="2" name="Picture 98"/>
        <xdr:cNvPicPr preferRelativeResize="1">
          <a:picLocks noChangeAspect="1"/>
        </xdr:cNvPicPr>
      </xdr:nvPicPr>
      <xdr:blipFill>
        <a:blip r:embed="rId2"/>
        <a:stretch>
          <a:fillRect/>
        </a:stretch>
      </xdr:blipFill>
      <xdr:spPr>
        <a:xfrm>
          <a:off x="333375" y="790575"/>
          <a:ext cx="200025" cy="200025"/>
        </a:xfrm>
        <a:prstGeom prst="rect">
          <a:avLst/>
        </a:prstGeom>
        <a:noFill/>
        <a:ln w="9525" cmpd="sng">
          <a:noFill/>
        </a:ln>
      </xdr:spPr>
    </xdr:pic>
    <xdr:clientData fPrintsWithSheet="0"/>
  </xdr:twoCellAnchor>
  <xdr:twoCellAnchor editAs="oneCell">
    <xdr:from>
      <xdr:col>1</xdr:col>
      <xdr:colOff>9525</xdr:colOff>
      <xdr:row>9</xdr:row>
      <xdr:rowOff>142875</xdr:rowOff>
    </xdr:from>
    <xdr:to>
      <xdr:col>1</xdr:col>
      <xdr:colOff>209550</xdr:colOff>
      <xdr:row>11</xdr:row>
      <xdr:rowOff>19050</xdr:rowOff>
    </xdr:to>
    <xdr:pic macro="[0]!Insert_NTR">
      <xdr:nvPicPr>
        <xdr:cNvPr id="3" name="Picture 99"/>
        <xdr:cNvPicPr preferRelativeResize="1">
          <a:picLocks noChangeAspect="1"/>
        </xdr:cNvPicPr>
      </xdr:nvPicPr>
      <xdr:blipFill>
        <a:blip r:embed="rId1"/>
        <a:stretch>
          <a:fillRect/>
        </a:stretch>
      </xdr:blipFill>
      <xdr:spPr>
        <a:xfrm>
          <a:off x="114300" y="1371600"/>
          <a:ext cx="200025" cy="200025"/>
        </a:xfrm>
        <a:prstGeom prst="rect">
          <a:avLst/>
        </a:prstGeom>
        <a:noFill/>
        <a:ln w="9525" cmpd="sng">
          <a:noFill/>
        </a:ln>
      </xdr:spPr>
    </xdr:pic>
    <xdr:clientData fPrintsWithSheet="0"/>
  </xdr:twoCellAnchor>
  <xdr:twoCellAnchor editAs="oneCell">
    <xdr:from>
      <xdr:col>1</xdr:col>
      <xdr:colOff>228600</xdr:colOff>
      <xdr:row>9</xdr:row>
      <xdr:rowOff>142875</xdr:rowOff>
    </xdr:from>
    <xdr:to>
      <xdr:col>1</xdr:col>
      <xdr:colOff>428625</xdr:colOff>
      <xdr:row>11</xdr:row>
      <xdr:rowOff>19050</xdr:rowOff>
    </xdr:to>
    <xdr:pic macro="[0]!Delete_NTR">
      <xdr:nvPicPr>
        <xdr:cNvPr id="4" name="Picture 100"/>
        <xdr:cNvPicPr preferRelativeResize="1">
          <a:picLocks noChangeAspect="1"/>
        </xdr:cNvPicPr>
      </xdr:nvPicPr>
      <xdr:blipFill>
        <a:blip r:embed="rId2"/>
        <a:stretch>
          <a:fillRect/>
        </a:stretch>
      </xdr:blipFill>
      <xdr:spPr>
        <a:xfrm>
          <a:off x="333375" y="1371600"/>
          <a:ext cx="200025" cy="200025"/>
        </a:xfrm>
        <a:prstGeom prst="rect">
          <a:avLst/>
        </a:prstGeom>
        <a:noFill/>
        <a:ln w="9525" cmpd="sng">
          <a:noFill/>
        </a:ln>
      </xdr:spPr>
    </xdr:pic>
    <xdr:clientData fPrintsWithSheet="0"/>
  </xdr:twoCellAnchor>
  <xdr:twoCellAnchor editAs="oneCell">
    <xdr:from>
      <xdr:col>1</xdr:col>
      <xdr:colOff>9525</xdr:colOff>
      <xdr:row>13</xdr:row>
      <xdr:rowOff>123825</xdr:rowOff>
    </xdr:from>
    <xdr:to>
      <xdr:col>1</xdr:col>
      <xdr:colOff>209550</xdr:colOff>
      <xdr:row>15</xdr:row>
      <xdr:rowOff>0</xdr:rowOff>
    </xdr:to>
    <xdr:pic macro="[0]!Insert_CE">
      <xdr:nvPicPr>
        <xdr:cNvPr id="5" name="Picture 101"/>
        <xdr:cNvPicPr preferRelativeResize="1">
          <a:picLocks noChangeAspect="1"/>
        </xdr:cNvPicPr>
      </xdr:nvPicPr>
      <xdr:blipFill>
        <a:blip r:embed="rId1"/>
        <a:stretch>
          <a:fillRect/>
        </a:stretch>
      </xdr:blipFill>
      <xdr:spPr>
        <a:xfrm>
          <a:off x="114300" y="1914525"/>
          <a:ext cx="200025" cy="200025"/>
        </a:xfrm>
        <a:prstGeom prst="rect">
          <a:avLst/>
        </a:prstGeom>
        <a:noFill/>
        <a:ln w="9525" cmpd="sng">
          <a:noFill/>
        </a:ln>
      </xdr:spPr>
    </xdr:pic>
    <xdr:clientData fPrintsWithSheet="0"/>
  </xdr:twoCellAnchor>
  <xdr:twoCellAnchor editAs="oneCell">
    <xdr:from>
      <xdr:col>1</xdr:col>
      <xdr:colOff>228600</xdr:colOff>
      <xdr:row>13</xdr:row>
      <xdr:rowOff>123825</xdr:rowOff>
    </xdr:from>
    <xdr:to>
      <xdr:col>1</xdr:col>
      <xdr:colOff>428625</xdr:colOff>
      <xdr:row>15</xdr:row>
      <xdr:rowOff>0</xdr:rowOff>
    </xdr:to>
    <xdr:pic macro="[0]!Delete_CE">
      <xdr:nvPicPr>
        <xdr:cNvPr id="6" name="Picture 102"/>
        <xdr:cNvPicPr preferRelativeResize="1">
          <a:picLocks noChangeAspect="1"/>
        </xdr:cNvPicPr>
      </xdr:nvPicPr>
      <xdr:blipFill>
        <a:blip r:embed="rId2"/>
        <a:stretch>
          <a:fillRect/>
        </a:stretch>
      </xdr:blipFill>
      <xdr:spPr>
        <a:xfrm>
          <a:off x="333375" y="1914525"/>
          <a:ext cx="200025" cy="200025"/>
        </a:xfrm>
        <a:prstGeom prst="rect">
          <a:avLst/>
        </a:prstGeom>
        <a:noFill/>
        <a:ln w="9525" cmpd="sng">
          <a:noFill/>
        </a:ln>
      </xdr:spPr>
    </xdr:pic>
    <xdr:clientData fPrintsWithSheet="0"/>
  </xdr:twoCellAnchor>
  <xdr:twoCellAnchor editAs="oneCell">
    <xdr:from>
      <xdr:col>2</xdr:col>
      <xdr:colOff>1390650</xdr:colOff>
      <xdr:row>4</xdr:row>
      <xdr:rowOff>123825</xdr:rowOff>
    </xdr:from>
    <xdr:to>
      <xdr:col>2</xdr:col>
      <xdr:colOff>1590675</xdr:colOff>
      <xdr:row>6</xdr:row>
      <xdr:rowOff>0</xdr:rowOff>
    </xdr:to>
    <xdr:pic macro="[0]!H_taxrev">
      <xdr:nvPicPr>
        <xdr:cNvPr id="7" name="Picture 103"/>
        <xdr:cNvPicPr preferRelativeResize="1">
          <a:picLocks noChangeAspect="1"/>
        </xdr:cNvPicPr>
      </xdr:nvPicPr>
      <xdr:blipFill>
        <a:blip r:embed="rId3"/>
        <a:stretch>
          <a:fillRect/>
        </a:stretch>
      </xdr:blipFill>
      <xdr:spPr>
        <a:xfrm>
          <a:off x="1924050" y="619125"/>
          <a:ext cx="200025" cy="200025"/>
        </a:xfrm>
        <a:prstGeom prst="rect">
          <a:avLst/>
        </a:prstGeom>
        <a:noFill/>
        <a:ln w="9525" cmpd="sng">
          <a:noFill/>
        </a:ln>
      </xdr:spPr>
    </xdr:pic>
    <xdr:clientData fPrintsWithSheet="0"/>
  </xdr:twoCellAnchor>
  <xdr:twoCellAnchor editAs="oneCell">
    <xdr:from>
      <xdr:col>2</xdr:col>
      <xdr:colOff>1390650</xdr:colOff>
      <xdr:row>8</xdr:row>
      <xdr:rowOff>38100</xdr:rowOff>
    </xdr:from>
    <xdr:to>
      <xdr:col>2</xdr:col>
      <xdr:colOff>1590675</xdr:colOff>
      <xdr:row>9</xdr:row>
      <xdr:rowOff>152400</xdr:rowOff>
    </xdr:to>
    <xdr:pic macro="[0]!H_nontaxrev">
      <xdr:nvPicPr>
        <xdr:cNvPr id="8" name="Picture 104"/>
        <xdr:cNvPicPr preferRelativeResize="1">
          <a:picLocks noChangeAspect="1"/>
        </xdr:cNvPicPr>
      </xdr:nvPicPr>
      <xdr:blipFill>
        <a:blip r:embed="rId3"/>
        <a:stretch>
          <a:fillRect/>
        </a:stretch>
      </xdr:blipFill>
      <xdr:spPr>
        <a:xfrm>
          <a:off x="1924050" y="1181100"/>
          <a:ext cx="200025" cy="200025"/>
        </a:xfrm>
        <a:prstGeom prst="rect">
          <a:avLst/>
        </a:prstGeom>
        <a:noFill/>
        <a:ln w="9525" cmpd="sng">
          <a:noFill/>
        </a:ln>
      </xdr:spPr>
    </xdr:pic>
    <xdr:clientData fPrintsWithSheet="0"/>
  </xdr:twoCellAnchor>
  <xdr:twoCellAnchor editAs="oneCell">
    <xdr:from>
      <xdr:col>2</xdr:col>
      <xdr:colOff>1390650</xdr:colOff>
      <xdr:row>12</xdr:row>
      <xdr:rowOff>38100</xdr:rowOff>
    </xdr:from>
    <xdr:to>
      <xdr:col>2</xdr:col>
      <xdr:colOff>1590675</xdr:colOff>
      <xdr:row>14</xdr:row>
      <xdr:rowOff>0</xdr:rowOff>
    </xdr:to>
    <xdr:pic macro="[0]!H_operexp">
      <xdr:nvPicPr>
        <xdr:cNvPr id="9" name="Picture 105"/>
        <xdr:cNvPicPr preferRelativeResize="1">
          <a:picLocks noChangeAspect="1"/>
        </xdr:cNvPicPr>
      </xdr:nvPicPr>
      <xdr:blipFill>
        <a:blip r:embed="rId3"/>
        <a:stretch>
          <a:fillRect/>
        </a:stretch>
      </xdr:blipFill>
      <xdr:spPr>
        <a:xfrm>
          <a:off x="1924050" y="1752600"/>
          <a:ext cx="200025" cy="200025"/>
        </a:xfrm>
        <a:prstGeom prst="rect">
          <a:avLst/>
        </a:prstGeom>
        <a:noFill/>
        <a:ln w="9525" cmpd="sng">
          <a:noFill/>
        </a:ln>
      </xdr:spPr>
    </xdr:pic>
    <xdr:clientData fPrintsWithSheet="0"/>
  </xdr:twoCellAnchor>
  <xdr:twoCellAnchor editAs="oneCell">
    <xdr:from>
      <xdr:col>2</xdr:col>
      <xdr:colOff>1390650</xdr:colOff>
      <xdr:row>16</xdr:row>
      <xdr:rowOff>28575</xdr:rowOff>
    </xdr:from>
    <xdr:to>
      <xdr:col>2</xdr:col>
      <xdr:colOff>1590675</xdr:colOff>
      <xdr:row>17</xdr:row>
      <xdr:rowOff>142875</xdr:rowOff>
    </xdr:to>
    <xdr:pic macro="[0]!H_investexp">
      <xdr:nvPicPr>
        <xdr:cNvPr id="10" name="Picture 106"/>
        <xdr:cNvPicPr preferRelativeResize="1">
          <a:picLocks noChangeAspect="1"/>
        </xdr:cNvPicPr>
      </xdr:nvPicPr>
      <xdr:blipFill>
        <a:blip r:embed="rId3"/>
        <a:stretch>
          <a:fillRect/>
        </a:stretch>
      </xdr:blipFill>
      <xdr:spPr>
        <a:xfrm>
          <a:off x="1924050" y="2305050"/>
          <a:ext cx="200025" cy="200025"/>
        </a:xfrm>
        <a:prstGeom prst="rect">
          <a:avLst/>
        </a:prstGeom>
        <a:noFill/>
        <a:ln w="9525" cmpd="sng">
          <a:noFill/>
        </a:ln>
      </xdr:spPr>
    </xdr:pic>
    <xdr:clientData fPrintsWithSheet="0"/>
  </xdr:twoCellAnchor>
  <xdr:twoCellAnchor editAs="oneCell">
    <xdr:from>
      <xdr:col>2</xdr:col>
      <xdr:colOff>1390650</xdr:colOff>
      <xdr:row>21</xdr:row>
      <xdr:rowOff>57150</xdr:rowOff>
    </xdr:from>
    <xdr:to>
      <xdr:col>2</xdr:col>
      <xdr:colOff>1590675</xdr:colOff>
      <xdr:row>23</xdr:row>
      <xdr:rowOff>9525</xdr:rowOff>
    </xdr:to>
    <xdr:pic macro="[0]!H_existassets">
      <xdr:nvPicPr>
        <xdr:cNvPr id="11" name="Picture 107"/>
        <xdr:cNvPicPr preferRelativeResize="1">
          <a:picLocks noChangeAspect="1"/>
        </xdr:cNvPicPr>
      </xdr:nvPicPr>
      <xdr:blipFill>
        <a:blip r:embed="rId3"/>
        <a:stretch>
          <a:fillRect/>
        </a:stretch>
      </xdr:blipFill>
      <xdr:spPr>
        <a:xfrm>
          <a:off x="1924050" y="3067050"/>
          <a:ext cx="200025" cy="200025"/>
        </a:xfrm>
        <a:prstGeom prst="rect">
          <a:avLst/>
        </a:prstGeom>
        <a:noFill/>
        <a:ln w="9525" cmpd="sng">
          <a:noFill/>
        </a:ln>
      </xdr:spPr>
    </xdr:pic>
    <xdr:clientData fPrintsWithSheet="0"/>
  </xdr:twoCellAnchor>
  <xdr:twoCellAnchor editAs="oneCell">
    <xdr:from>
      <xdr:col>2</xdr:col>
      <xdr:colOff>1390650</xdr:colOff>
      <xdr:row>29</xdr:row>
      <xdr:rowOff>47625</xdr:rowOff>
    </xdr:from>
    <xdr:to>
      <xdr:col>2</xdr:col>
      <xdr:colOff>1590675</xdr:colOff>
      <xdr:row>31</xdr:row>
      <xdr:rowOff>0</xdr:rowOff>
    </xdr:to>
    <xdr:pic macro="[0]!H_capex">
      <xdr:nvPicPr>
        <xdr:cNvPr id="12" name="Picture 108"/>
        <xdr:cNvPicPr preferRelativeResize="1">
          <a:picLocks noChangeAspect="1"/>
        </xdr:cNvPicPr>
      </xdr:nvPicPr>
      <xdr:blipFill>
        <a:blip r:embed="rId3"/>
        <a:stretch>
          <a:fillRect/>
        </a:stretch>
      </xdr:blipFill>
      <xdr:spPr>
        <a:xfrm>
          <a:off x="1924050" y="4276725"/>
          <a:ext cx="200025" cy="200025"/>
        </a:xfrm>
        <a:prstGeom prst="rect">
          <a:avLst/>
        </a:prstGeom>
        <a:noFill/>
        <a:ln w="9525" cmpd="sng">
          <a:noFill/>
        </a:ln>
      </xdr:spPr>
    </xdr:pic>
    <xdr:clientData fPrintsWithSheet="0"/>
  </xdr:twoCellAnchor>
  <xdr:twoCellAnchor editAs="oneCell">
    <xdr:from>
      <xdr:col>6</xdr:col>
      <xdr:colOff>457200</xdr:colOff>
      <xdr:row>22</xdr:row>
      <xdr:rowOff>9525</xdr:rowOff>
    </xdr:from>
    <xdr:to>
      <xdr:col>6</xdr:col>
      <xdr:colOff>600075</xdr:colOff>
      <xdr:row>22</xdr:row>
      <xdr:rowOff>152400</xdr:rowOff>
    </xdr:to>
    <xdr:pic macro="[0]!H_existasset">
      <xdr:nvPicPr>
        <xdr:cNvPr id="13" name="Picture 109"/>
        <xdr:cNvPicPr preferRelativeResize="1">
          <a:picLocks noChangeAspect="1"/>
        </xdr:cNvPicPr>
      </xdr:nvPicPr>
      <xdr:blipFill>
        <a:blip r:embed="rId3"/>
        <a:stretch>
          <a:fillRect/>
        </a:stretch>
      </xdr:blipFill>
      <xdr:spPr>
        <a:xfrm>
          <a:off x="3876675" y="3105150"/>
          <a:ext cx="142875" cy="142875"/>
        </a:xfrm>
        <a:prstGeom prst="rect">
          <a:avLst/>
        </a:prstGeom>
        <a:noFill/>
        <a:ln w="9525" cmpd="sng">
          <a:noFill/>
        </a:ln>
      </xdr:spPr>
    </xdr:pic>
    <xdr:clientData fPrintsWithSheet="0"/>
  </xdr:twoCellAnchor>
  <xdr:twoCellAnchor editAs="oneCell">
    <xdr:from>
      <xdr:col>9</xdr:col>
      <xdr:colOff>457200</xdr:colOff>
      <xdr:row>22</xdr:row>
      <xdr:rowOff>9525</xdr:rowOff>
    </xdr:from>
    <xdr:to>
      <xdr:col>9</xdr:col>
      <xdr:colOff>600075</xdr:colOff>
      <xdr:row>22</xdr:row>
      <xdr:rowOff>152400</xdr:rowOff>
    </xdr:to>
    <xdr:pic macro="[0]!H_existactg">
      <xdr:nvPicPr>
        <xdr:cNvPr id="14" name="Picture 110"/>
        <xdr:cNvPicPr preferRelativeResize="1">
          <a:picLocks noChangeAspect="1"/>
        </xdr:cNvPicPr>
      </xdr:nvPicPr>
      <xdr:blipFill>
        <a:blip r:embed="rId3"/>
        <a:stretch>
          <a:fillRect/>
        </a:stretch>
      </xdr:blipFill>
      <xdr:spPr>
        <a:xfrm>
          <a:off x="5705475" y="3105150"/>
          <a:ext cx="142875" cy="142875"/>
        </a:xfrm>
        <a:prstGeom prst="rect">
          <a:avLst/>
        </a:prstGeom>
        <a:noFill/>
        <a:ln w="9525" cmpd="sng">
          <a:noFill/>
        </a:ln>
      </xdr:spPr>
    </xdr:pic>
    <xdr:clientData fPrintsWithSheet="0"/>
  </xdr:twoCellAnchor>
  <xdr:twoCellAnchor editAs="oneCell">
    <xdr:from>
      <xdr:col>12</xdr:col>
      <xdr:colOff>533400</xdr:colOff>
      <xdr:row>22</xdr:row>
      <xdr:rowOff>9525</xdr:rowOff>
    </xdr:from>
    <xdr:to>
      <xdr:col>12</xdr:col>
      <xdr:colOff>676275</xdr:colOff>
      <xdr:row>22</xdr:row>
      <xdr:rowOff>152400</xdr:rowOff>
    </xdr:to>
    <xdr:pic macro="[0]!H_existtax">
      <xdr:nvPicPr>
        <xdr:cNvPr id="15" name="Picture 111"/>
        <xdr:cNvPicPr preferRelativeResize="1">
          <a:picLocks noChangeAspect="1"/>
        </xdr:cNvPicPr>
      </xdr:nvPicPr>
      <xdr:blipFill>
        <a:blip r:embed="rId3"/>
        <a:stretch>
          <a:fillRect/>
        </a:stretch>
      </xdr:blipFill>
      <xdr:spPr>
        <a:xfrm>
          <a:off x="7610475" y="3105150"/>
          <a:ext cx="142875" cy="142875"/>
        </a:xfrm>
        <a:prstGeom prst="rect">
          <a:avLst/>
        </a:prstGeom>
        <a:noFill/>
        <a:ln w="9525" cmpd="sng">
          <a:noFill/>
        </a:ln>
      </xdr:spPr>
    </xdr:pic>
    <xdr:clientData fPrintsWithSheet="0"/>
  </xdr:twoCellAnchor>
  <xdr:twoCellAnchor editAs="oneCell">
    <xdr:from>
      <xdr:col>13</xdr:col>
      <xdr:colOff>533400</xdr:colOff>
      <xdr:row>22</xdr:row>
      <xdr:rowOff>9525</xdr:rowOff>
    </xdr:from>
    <xdr:to>
      <xdr:col>13</xdr:col>
      <xdr:colOff>676275</xdr:colOff>
      <xdr:row>22</xdr:row>
      <xdr:rowOff>152400</xdr:rowOff>
    </xdr:to>
    <xdr:pic macro="[0]!H_existgdwl">
      <xdr:nvPicPr>
        <xdr:cNvPr id="16" name="Picture 112"/>
        <xdr:cNvPicPr preferRelativeResize="1">
          <a:picLocks noChangeAspect="1"/>
        </xdr:cNvPicPr>
      </xdr:nvPicPr>
      <xdr:blipFill>
        <a:blip r:embed="rId3"/>
        <a:stretch>
          <a:fillRect/>
        </a:stretch>
      </xdr:blipFill>
      <xdr:spPr>
        <a:xfrm>
          <a:off x="8296275" y="3105150"/>
          <a:ext cx="142875" cy="142875"/>
        </a:xfrm>
        <a:prstGeom prst="rect">
          <a:avLst/>
        </a:prstGeom>
        <a:noFill/>
        <a:ln w="9525" cmpd="sng">
          <a:noFill/>
        </a:ln>
      </xdr:spPr>
    </xdr:pic>
    <xdr:clientData fPrintsWithSheet="0"/>
  </xdr:twoCellAnchor>
  <xdr:twoCellAnchor editAs="oneCell">
    <xdr:from>
      <xdr:col>8</xdr:col>
      <xdr:colOff>457200</xdr:colOff>
      <xdr:row>30</xdr:row>
      <xdr:rowOff>9525</xdr:rowOff>
    </xdr:from>
    <xdr:to>
      <xdr:col>8</xdr:col>
      <xdr:colOff>600075</xdr:colOff>
      <xdr:row>30</xdr:row>
      <xdr:rowOff>152400</xdr:rowOff>
    </xdr:to>
    <xdr:pic macro="[0]!H_newasset">
      <xdr:nvPicPr>
        <xdr:cNvPr id="17" name="Picture 113"/>
        <xdr:cNvPicPr preferRelativeResize="1">
          <a:picLocks noChangeAspect="1"/>
        </xdr:cNvPicPr>
      </xdr:nvPicPr>
      <xdr:blipFill>
        <a:blip r:embed="rId3"/>
        <a:stretch>
          <a:fillRect/>
        </a:stretch>
      </xdr:blipFill>
      <xdr:spPr>
        <a:xfrm>
          <a:off x="5095875" y="4324350"/>
          <a:ext cx="142875" cy="142875"/>
        </a:xfrm>
        <a:prstGeom prst="rect">
          <a:avLst/>
        </a:prstGeom>
        <a:noFill/>
        <a:ln w="9525" cmpd="sng">
          <a:noFill/>
        </a:ln>
      </xdr:spPr>
    </xdr:pic>
    <xdr:clientData fPrintsWithSheet="0"/>
  </xdr:twoCellAnchor>
  <xdr:twoCellAnchor editAs="oneCell">
    <xdr:from>
      <xdr:col>10</xdr:col>
      <xdr:colOff>457200</xdr:colOff>
      <xdr:row>30</xdr:row>
      <xdr:rowOff>9525</xdr:rowOff>
    </xdr:from>
    <xdr:to>
      <xdr:col>10</xdr:col>
      <xdr:colOff>600075</xdr:colOff>
      <xdr:row>30</xdr:row>
      <xdr:rowOff>152400</xdr:rowOff>
    </xdr:to>
    <xdr:pic macro="[0]!H_newactg">
      <xdr:nvPicPr>
        <xdr:cNvPr id="18" name="Picture 114"/>
        <xdr:cNvPicPr preferRelativeResize="1">
          <a:picLocks noChangeAspect="1"/>
        </xdr:cNvPicPr>
      </xdr:nvPicPr>
      <xdr:blipFill>
        <a:blip r:embed="rId3"/>
        <a:stretch>
          <a:fillRect/>
        </a:stretch>
      </xdr:blipFill>
      <xdr:spPr>
        <a:xfrm>
          <a:off x="6315075" y="4324350"/>
          <a:ext cx="142875" cy="142875"/>
        </a:xfrm>
        <a:prstGeom prst="rect">
          <a:avLst/>
        </a:prstGeom>
        <a:noFill/>
        <a:ln w="9525" cmpd="sng">
          <a:noFill/>
        </a:ln>
      </xdr:spPr>
    </xdr:pic>
    <xdr:clientData fPrintsWithSheet="0"/>
  </xdr:twoCellAnchor>
  <xdr:twoCellAnchor editAs="oneCell">
    <xdr:from>
      <xdr:col>12</xdr:col>
      <xdr:colOff>542925</xdr:colOff>
      <xdr:row>30</xdr:row>
      <xdr:rowOff>9525</xdr:rowOff>
    </xdr:from>
    <xdr:to>
      <xdr:col>12</xdr:col>
      <xdr:colOff>685800</xdr:colOff>
      <xdr:row>30</xdr:row>
      <xdr:rowOff>152400</xdr:rowOff>
    </xdr:to>
    <xdr:pic macro="[0]!H_newtax">
      <xdr:nvPicPr>
        <xdr:cNvPr id="19" name="Picture 115"/>
        <xdr:cNvPicPr preferRelativeResize="1">
          <a:picLocks noChangeAspect="1"/>
        </xdr:cNvPicPr>
      </xdr:nvPicPr>
      <xdr:blipFill>
        <a:blip r:embed="rId3"/>
        <a:stretch>
          <a:fillRect/>
        </a:stretch>
      </xdr:blipFill>
      <xdr:spPr>
        <a:xfrm>
          <a:off x="7620000" y="4324350"/>
          <a:ext cx="142875" cy="142875"/>
        </a:xfrm>
        <a:prstGeom prst="rect">
          <a:avLst/>
        </a:prstGeom>
        <a:noFill/>
        <a:ln w="9525" cmpd="sng">
          <a:noFill/>
        </a:ln>
      </xdr:spPr>
    </xdr:pic>
    <xdr:clientData fPrintsWithSheet="0"/>
  </xdr:twoCellAnchor>
  <xdr:twoCellAnchor editAs="oneCell">
    <xdr:from>
      <xdr:col>13</xdr:col>
      <xdr:colOff>533400</xdr:colOff>
      <xdr:row>30</xdr:row>
      <xdr:rowOff>9525</xdr:rowOff>
    </xdr:from>
    <xdr:to>
      <xdr:col>13</xdr:col>
      <xdr:colOff>676275</xdr:colOff>
      <xdr:row>30</xdr:row>
      <xdr:rowOff>152400</xdr:rowOff>
    </xdr:to>
    <xdr:pic macro="[0]!H_equityfund">
      <xdr:nvPicPr>
        <xdr:cNvPr id="20" name="Picture 116"/>
        <xdr:cNvPicPr preferRelativeResize="1">
          <a:picLocks noChangeAspect="1"/>
        </xdr:cNvPicPr>
      </xdr:nvPicPr>
      <xdr:blipFill>
        <a:blip r:embed="rId3"/>
        <a:stretch>
          <a:fillRect/>
        </a:stretch>
      </xdr:blipFill>
      <xdr:spPr>
        <a:xfrm>
          <a:off x="8296275" y="4324350"/>
          <a:ext cx="142875" cy="142875"/>
        </a:xfrm>
        <a:prstGeom prst="rect">
          <a:avLst/>
        </a:prstGeom>
        <a:noFill/>
        <a:ln w="9525" cmpd="sng">
          <a:noFill/>
        </a:ln>
      </xdr:spPr>
    </xdr:pic>
    <xdr:clientData fPrintsWithSheet="0"/>
  </xdr:twoCellAnchor>
  <xdr:twoCellAnchor editAs="oneCell">
    <xdr:from>
      <xdr:col>13</xdr:col>
      <xdr:colOff>552450</xdr:colOff>
      <xdr:row>39</xdr:row>
      <xdr:rowOff>0</xdr:rowOff>
    </xdr:from>
    <xdr:to>
      <xdr:col>15</xdr:col>
      <xdr:colOff>0</xdr:colOff>
      <xdr:row>40</xdr:row>
      <xdr:rowOff>0</xdr:rowOff>
    </xdr:to>
    <xdr:pic macro="[0]!H_financialanalysis">
      <xdr:nvPicPr>
        <xdr:cNvPr id="21" name="Picture 117"/>
        <xdr:cNvPicPr preferRelativeResize="1">
          <a:picLocks noChangeAspect="1"/>
        </xdr:cNvPicPr>
      </xdr:nvPicPr>
      <xdr:blipFill>
        <a:blip r:embed="rId4"/>
        <a:stretch>
          <a:fillRect/>
        </a:stretch>
      </xdr:blipFill>
      <xdr:spPr>
        <a:xfrm>
          <a:off x="8315325" y="5600700"/>
          <a:ext cx="190500" cy="190500"/>
        </a:xfrm>
        <a:prstGeom prst="rect">
          <a:avLst/>
        </a:prstGeom>
        <a:noFill/>
        <a:ln w="9525" cmpd="sng">
          <a:noFill/>
        </a:ln>
      </xdr:spPr>
    </xdr:pic>
    <xdr:clientData fPrintsWithSheet="0"/>
  </xdr:twoCellAnchor>
  <xdr:twoCellAnchor editAs="oneCell">
    <xdr:from>
      <xdr:col>11</xdr:col>
      <xdr:colOff>600075</xdr:colOff>
      <xdr:row>42</xdr:row>
      <xdr:rowOff>85725</xdr:rowOff>
    </xdr:from>
    <xdr:to>
      <xdr:col>13</xdr:col>
      <xdr:colOff>323850</xdr:colOff>
      <xdr:row>44</xdr:row>
      <xdr:rowOff>133350</xdr:rowOff>
    </xdr:to>
    <xdr:pic macro="[0]!Clear_Input">
      <xdr:nvPicPr>
        <xdr:cNvPr id="22" name="Picture 118"/>
        <xdr:cNvPicPr preferRelativeResize="1">
          <a:picLocks noChangeAspect="1"/>
        </xdr:cNvPicPr>
      </xdr:nvPicPr>
      <xdr:blipFill>
        <a:blip r:embed="rId5"/>
        <a:stretch>
          <a:fillRect/>
        </a:stretch>
      </xdr:blipFill>
      <xdr:spPr>
        <a:xfrm>
          <a:off x="7067550" y="6105525"/>
          <a:ext cx="1019175" cy="304800"/>
        </a:xfrm>
        <a:prstGeom prst="rect">
          <a:avLst/>
        </a:prstGeom>
        <a:noFill/>
        <a:ln w="9525" cmpd="sng">
          <a:noFill/>
        </a:ln>
      </xdr:spPr>
    </xdr:pic>
    <xdr:clientData/>
  </xdr:twoCellAnchor>
  <xdr:twoCellAnchor editAs="oneCell">
    <xdr:from>
      <xdr:col>11</xdr:col>
      <xdr:colOff>600075</xdr:colOff>
      <xdr:row>53</xdr:row>
      <xdr:rowOff>19050</xdr:rowOff>
    </xdr:from>
    <xdr:to>
      <xdr:col>13</xdr:col>
      <xdr:colOff>323850</xdr:colOff>
      <xdr:row>55</xdr:row>
      <xdr:rowOff>95250</xdr:rowOff>
    </xdr:to>
    <xdr:pic macro="[0]!nxt_after">
      <xdr:nvPicPr>
        <xdr:cNvPr id="23" name="Picture 119"/>
        <xdr:cNvPicPr preferRelativeResize="1">
          <a:picLocks noChangeAspect="1"/>
        </xdr:cNvPicPr>
      </xdr:nvPicPr>
      <xdr:blipFill>
        <a:blip r:embed="rId6"/>
        <a:stretch>
          <a:fillRect/>
        </a:stretch>
      </xdr:blipFill>
      <xdr:spPr>
        <a:xfrm>
          <a:off x="7067550" y="7534275"/>
          <a:ext cx="1019175" cy="304800"/>
        </a:xfrm>
        <a:prstGeom prst="rect">
          <a:avLst/>
        </a:prstGeom>
        <a:noFill/>
        <a:ln w="9525" cmpd="sng">
          <a:noFill/>
        </a:ln>
      </xdr:spPr>
    </xdr:pic>
    <xdr:clientData fPrintsWithSheet="0"/>
  </xdr:twoCellAnchor>
  <xdr:twoCellAnchor editAs="oneCell">
    <xdr:from>
      <xdr:col>11</xdr:col>
      <xdr:colOff>485775</xdr:colOff>
      <xdr:row>47</xdr:row>
      <xdr:rowOff>38100</xdr:rowOff>
    </xdr:from>
    <xdr:to>
      <xdr:col>13</xdr:col>
      <xdr:colOff>438150</xdr:colOff>
      <xdr:row>51</xdr:row>
      <xdr:rowOff>123825</xdr:rowOff>
    </xdr:to>
    <xdr:pic macro="[0]!H_Logo_Click">
      <xdr:nvPicPr>
        <xdr:cNvPr id="24" name="Picture 122"/>
        <xdr:cNvPicPr preferRelativeResize="1">
          <a:picLocks noChangeAspect="1"/>
        </xdr:cNvPicPr>
      </xdr:nvPicPr>
      <xdr:blipFill>
        <a:blip r:embed="rId7"/>
        <a:stretch>
          <a:fillRect/>
        </a:stretch>
      </xdr:blipFill>
      <xdr:spPr>
        <a:xfrm>
          <a:off x="6953250" y="6696075"/>
          <a:ext cx="1247775" cy="628650"/>
        </a:xfrm>
        <a:prstGeom prst="rect">
          <a:avLst/>
        </a:prstGeom>
        <a:noFill/>
        <a:ln w="9525" cmpd="sng">
          <a:noFill/>
        </a:ln>
      </xdr:spPr>
    </xdr:pic>
    <xdr:clientData fPrint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72</xdr:row>
      <xdr:rowOff>95250</xdr:rowOff>
    </xdr:from>
    <xdr:to>
      <xdr:col>7</xdr:col>
      <xdr:colOff>38100</xdr:colOff>
      <xdr:row>85</xdr:row>
      <xdr:rowOff>104775</xdr:rowOff>
    </xdr:to>
    <xdr:graphicFrame>
      <xdr:nvGraphicFramePr>
        <xdr:cNvPr id="1" name="Chart 5"/>
        <xdr:cNvGraphicFramePr/>
      </xdr:nvGraphicFramePr>
      <xdr:xfrm>
        <a:off x="133350" y="10696575"/>
        <a:ext cx="4019550" cy="2114550"/>
      </xdr:xfrm>
      <a:graphic>
        <a:graphicData uri="http://schemas.openxmlformats.org/drawingml/2006/chart">
          <c:chart xmlns:c="http://schemas.openxmlformats.org/drawingml/2006/chart" r:id="rId1"/>
        </a:graphicData>
      </a:graphic>
    </xdr:graphicFrame>
    <xdr:clientData/>
  </xdr:twoCellAnchor>
  <xdr:twoCellAnchor>
    <xdr:from>
      <xdr:col>7</xdr:col>
      <xdr:colOff>142875</xdr:colOff>
      <xdr:row>72</xdr:row>
      <xdr:rowOff>123825</xdr:rowOff>
    </xdr:from>
    <xdr:to>
      <xdr:col>13</xdr:col>
      <xdr:colOff>666750</xdr:colOff>
      <xdr:row>85</xdr:row>
      <xdr:rowOff>104775</xdr:rowOff>
    </xdr:to>
    <xdr:graphicFrame>
      <xdr:nvGraphicFramePr>
        <xdr:cNvPr id="2" name="Chart 6"/>
        <xdr:cNvGraphicFramePr/>
      </xdr:nvGraphicFramePr>
      <xdr:xfrm>
        <a:off x="4257675" y="10725150"/>
        <a:ext cx="4257675" cy="2085975"/>
      </xdr:xfrm>
      <a:graphic>
        <a:graphicData uri="http://schemas.openxmlformats.org/drawingml/2006/chart">
          <c:chart xmlns:c="http://schemas.openxmlformats.org/drawingml/2006/chart" r:id="rId2"/>
        </a:graphicData>
      </a:graphic>
    </xdr:graphicFrame>
    <xdr:clientData/>
  </xdr:twoCellAnchor>
  <xdr:twoCellAnchor>
    <xdr:from>
      <xdr:col>1</xdr:col>
      <xdr:colOff>47625</xdr:colOff>
      <xdr:row>86</xdr:row>
      <xdr:rowOff>9525</xdr:rowOff>
    </xdr:from>
    <xdr:to>
      <xdr:col>13</xdr:col>
      <xdr:colOff>666750</xdr:colOff>
      <xdr:row>98</xdr:row>
      <xdr:rowOff>19050</xdr:rowOff>
    </xdr:to>
    <xdr:graphicFrame>
      <xdr:nvGraphicFramePr>
        <xdr:cNvPr id="3" name="Chart 7"/>
        <xdr:cNvGraphicFramePr/>
      </xdr:nvGraphicFramePr>
      <xdr:xfrm>
        <a:off x="133350" y="12877800"/>
        <a:ext cx="8382000" cy="1952625"/>
      </xdr:xfrm>
      <a:graphic>
        <a:graphicData uri="http://schemas.openxmlformats.org/drawingml/2006/chart">
          <c:chart xmlns:c="http://schemas.openxmlformats.org/drawingml/2006/chart" r:id="rId3"/>
        </a:graphicData>
      </a:graphic>
    </xdr:graphicFrame>
    <xdr:clientData/>
  </xdr:twoCellAnchor>
  <xdr:twoCellAnchor>
    <xdr:from>
      <xdr:col>2</xdr:col>
      <xdr:colOff>476250</xdr:colOff>
      <xdr:row>88</xdr:row>
      <xdr:rowOff>0</xdr:rowOff>
    </xdr:from>
    <xdr:to>
      <xdr:col>2</xdr:col>
      <xdr:colOff>476250</xdr:colOff>
      <xdr:row>95</xdr:row>
      <xdr:rowOff>142875</xdr:rowOff>
    </xdr:to>
    <xdr:sp>
      <xdr:nvSpPr>
        <xdr:cNvPr id="4" name="Line 8"/>
        <xdr:cNvSpPr>
          <a:spLocks/>
        </xdr:cNvSpPr>
      </xdr:nvSpPr>
      <xdr:spPr>
        <a:xfrm flipV="1">
          <a:off x="1095375" y="13192125"/>
          <a:ext cx="0" cy="127635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101</xdr:row>
      <xdr:rowOff>95250</xdr:rowOff>
    </xdr:from>
    <xdr:to>
      <xdr:col>7</xdr:col>
      <xdr:colOff>38100</xdr:colOff>
      <xdr:row>114</xdr:row>
      <xdr:rowOff>104775</xdr:rowOff>
    </xdr:to>
    <xdr:graphicFrame>
      <xdr:nvGraphicFramePr>
        <xdr:cNvPr id="5" name="Chart 9"/>
        <xdr:cNvGraphicFramePr/>
      </xdr:nvGraphicFramePr>
      <xdr:xfrm>
        <a:off x="133350" y="15249525"/>
        <a:ext cx="4019550" cy="2114550"/>
      </xdr:xfrm>
      <a:graphic>
        <a:graphicData uri="http://schemas.openxmlformats.org/drawingml/2006/chart">
          <c:chart xmlns:c="http://schemas.openxmlformats.org/drawingml/2006/chart" r:id="rId4"/>
        </a:graphicData>
      </a:graphic>
    </xdr:graphicFrame>
    <xdr:clientData/>
  </xdr:twoCellAnchor>
  <xdr:twoCellAnchor>
    <xdr:from>
      <xdr:col>7</xdr:col>
      <xdr:colOff>142875</xdr:colOff>
      <xdr:row>101</xdr:row>
      <xdr:rowOff>123825</xdr:rowOff>
    </xdr:from>
    <xdr:to>
      <xdr:col>13</xdr:col>
      <xdr:colOff>666750</xdr:colOff>
      <xdr:row>114</xdr:row>
      <xdr:rowOff>104775</xdr:rowOff>
    </xdr:to>
    <xdr:graphicFrame>
      <xdr:nvGraphicFramePr>
        <xdr:cNvPr id="6" name="Chart 10"/>
        <xdr:cNvGraphicFramePr/>
      </xdr:nvGraphicFramePr>
      <xdr:xfrm>
        <a:off x="4257675" y="15278100"/>
        <a:ext cx="4257675" cy="2085975"/>
      </xdr:xfrm>
      <a:graphic>
        <a:graphicData uri="http://schemas.openxmlformats.org/drawingml/2006/chart">
          <c:chart xmlns:c="http://schemas.openxmlformats.org/drawingml/2006/chart" r:id="rId5"/>
        </a:graphicData>
      </a:graphic>
    </xdr:graphicFrame>
    <xdr:clientData/>
  </xdr:twoCellAnchor>
  <xdr:twoCellAnchor>
    <xdr:from>
      <xdr:col>1</xdr:col>
      <xdr:colOff>47625</xdr:colOff>
      <xdr:row>115</xdr:row>
      <xdr:rowOff>9525</xdr:rowOff>
    </xdr:from>
    <xdr:to>
      <xdr:col>13</xdr:col>
      <xdr:colOff>666750</xdr:colOff>
      <xdr:row>127</xdr:row>
      <xdr:rowOff>19050</xdr:rowOff>
    </xdr:to>
    <xdr:graphicFrame>
      <xdr:nvGraphicFramePr>
        <xdr:cNvPr id="7" name="Chart 11"/>
        <xdr:cNvGraphicFramePr/>
      </xdr:nvGraphicFramePr>
      <xdr:xfrm>
        <a:off x="133350" y="17430750"/>
        <a:ext cx="8382000" cy="1952625"/>
      </xdr:xfrm>
      <a:graphic>
        <a:graphicData uri="http://schemas.openxmlformats.org/drawingml/2006/chart">
          <c:chart xmlns:c="http://schemas.openxmlformats.org/drawingml/2006/chart" r:id="rId6"/>
        </a:graphicData>
      </a:graphic>
    </xdr:graphicFrame>
    <xdr:clientData/>
  </xdr:twoCellAnchor>
  <xdr:twoCellAnchor>
    <xdr:from>
      <xdr:col>2</xdr:col>
      <xdr:colOff>466725</xdr:colOff>
      <xdr:row>116</xdr:row>
      <xdr:rowOff>133350</xdr:rowOff>
    </xdr:from>
    <xdr:to>
      <xdr:col>2</xdr:col>
      <xdr:colOff>466725</xdr:colOff>
      <xdr:row>124</xdr:row>
      <xdr:rowOff>114300</xdr:rowOff>
    </xdr:to>
    <xdr:sp>
      <xdr:nvSpPr>
        <xdr:cNvPr id="8" name="Line 12"/>
        <xdr:cNvSpPr>
          <a:spLocks/>
        </xdr:cNvSpPr>
      </xdr:nvSpPr>
      <xdr:spPr>
        <a:xfrm flipV="1">
          <a:off x="1085850" y="17716500"/>
          <a:ext cx="0" cy="127635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542925</xdr:colOff>
      <xdr:row>4</xdr:row>
      <xdr:rowOff>76200</xdr:rowOff>
    </xdr:from>
    <xdr:to>
      <xdr:col>13</xdr:col>
      <xdr:colOff>266700</xdr:colOff>
      <xdr:row>6</xdr:row>
      <xdr:rowOff>57150</xdr:rowOff>
    </xdr:to>
    <xdr:pic macro="[0]!exportresults">
      <xdr:nvPicPr>
        <xdr:cNvPr id="9" name="Picture 22"/>
        <xdr:cNvPicPr preferRelativeResize="1">
          <a:picLocks noChangeAspect="1"/>
        </xdr:cNvPicPr>
      </xdr:nvPicPr>
      <xdr:blipFill>
        <a:blip r:embed="rId7"/>
        <a:stretch>
          <a:fillRect/>
        </a:stretch>
      </xdr:blipFill>
      <xdr:spPr>
        <a:xfrm>
          <a:off x="7096125" y="571500"/>
          <a:ext cx="1019175" cy="304800"/>
        </a:xfrm>
        <a:prstGeom prst="rect">
          <a:avLst/>
        </a:prstGeom>
        <a:noFill/>
        <a:ln w="9525" cmpd="sng">
          <a:noFill/>
        </a:ln>
      </xdr:spPr>
    </xdr:pic>
    <xdr:clientData fPrintsWithSheet="0"/>
  </xdr:twoCellAnchor>
  <xdr:twoCellAnchor editAs="oneCell">
    <xdr:from>
      <xdr:col>11</xdr:col>
      <xdr:colOff>438150</xdr:colOff>
      <xdr:row>7</xdr:row>
      <xdr:rowOff>133350</xdr:rowOff>
    </xdr:from>
    <xdr:to>
      <xdr:col>13</xdr:col>
      <xdr:colOff>390525</xdr:colOff>
      <xdr:row>11</xdr:row>
      <xdr:rowOff>114300</xdr:rowOff>
    </xdr:to>
    <xdr:pic macro="[0]!H_Logo_Click">
      <xdr:nvPicPr>
        <xdr:cNvPr id="10" name="Picture 25"/>
        <xdr:cNvPicPr preferRelativeResize="1">
          <a:picLocks noChangeAspect="1"/>
        </xdr:cNvPicPr>
      </xdr:nvPicPr>
      <xdr:blipFill>
        <a:blip r:embed="rId8"/>
        <a:stretch>
          <a:fillRect/>
        </a:stretch>
      </xdr:blipFill>
      <xdr:spPr>
        <a:xfrm>
          <a:off x="6991350" y="1114425"/>
          <a:ext cx="1247775" cy="628650"/>
        </a:xfrm>
        <a:prstGeom prst="rect">
          <a:avLst/>
        </a:prstGeom>
        <a:noFill/>
        <a:ln w="9525" cmpd="sng">
          <a:noFill/>
        </a:ln>
      </xdr:spPr>
    </xdr:pic>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1"/>
  <dimension ref="B1:W56"/>
  <sheetViews>
    <sheetView showGridLines="0" tabSelected="1" workbookViewId="0" topLeftCell="A1">
      <selection activeCell="D5" sqref="D5"/>
    </sheetView>
  </sheetViews>
  <sheetFormatPr defaultColWidth="9.140625" defaultRowHeight="12.75"/>
  <cols>
    <col min="1" max="1" width="2.28125" style="0" customWidth="1"/>
    <col min="2" max="3" width="7.8515625" style="0" customWidth="1"/>
    <col min="4" max="4" width="28.57421875" style="0" customWidth="1"/>
    <col min="5" max="5" width="17.421875" style="0" customWidth="1"/>
    <col min="6" max="6" width="8.140625" style="0" customWidth="1"/>
    <col min="7" max="7" width="9.421875" style="0" customWidth="1"/>
    <col min="17" max="22" width="9.140625" style="61" customWidth="1"/>
  </cols>
  <sheetData>
    <row r="1" spans="2:23" ht="15" customHeight="1">
      <c r="B1" s="285" t="s">
        <v>166</v>
      </c>
      <c r="C1" s="286"/>
      <c r="D1" s="286"/>
      <c r="E1" s="286"/>
      <c r="F1" s="287"/>
      <c r="T1" s="139">
        <v>0</v>
      </c>
      <c r="U1" s="139"/>
      <c r="V1" s="139"/>
      <c r="W1" s="79"/>
    </row>
    <row r="2" spans="20:23" ht="5.25" customHeight="1">
      <c r="T2" s="139"/>
      <c r="U2" s="139"/>
      <c r="V2" s="139"/>
      <c r="W2" s="79"/>
    </row>
    <row r="3" spans="2:23" ht="12.75">
      <c r="B3" s="135" t="s">
        <v>90</v>
      </c>
      <c r="C3" s="136"/>
      <c r="D3" s="136"/>
      <c r="E3" s="136"/>
      <c r="F3" s="137"/>
      <c r="T3" s="139"/>
      <c r="U3" s="139"/>
      <c r="V3" s="139"/>
      <c r="W3" s="79"/>
    </row>
    <row r="4" spans="2:23" ht="5.25" customHeight="1">
      <c r="B4" s="7"/>
      <c r="C4" s="8"/>
      <c r="D4" s="8"/>
      <c r="E4" s="8"/>
      <c r="F4" s="9"/>
      <c r="T4" s="139">
        <v>2</v>
      </c>
      <c r="U4" s="139"/>
      <c r="V4" s="139"/>
      <c r="W4" s="79"/>
    </row>
    <row r="5" spans="2:23" ht="12.75">
      <c r="B5" s="7"/>
      <c r="C5" s="8"/>
      <c r="D5" s="80" t="s">
        <v>18</v>
      </c>
      <c r="E5" s="14" t="s">
        <v>19</v>
      </c>
      <c r="F5" s="9"/>
      <c r="T5" s="139"/>
      <c r="U5" s="139"/>
      <c r="V5" s="139"/>
      <c r="W5" s="79"/>
    </row>
    <row r="6" spans="2:23" ht="12.75">
      <c r="B6" s="7"/>
      <c r="C6" s="8"/>
      <c r="D6" s="80" t="s">
        <v>209</v>
      </c>
      <c r="E6" s="8"/>
      <c r="F6" s="9"/>
      <c r="T6" s="139"/>
      <c r="U6" s="139"/>
      <c r="V6" s="139"/>
      <c r="W6" s="79"/>
    </row>
    <row r="7" spans="2:23" ht="5.25" customHeight="1">
      <c r="B7" s="7"/>
      <c r="C7" s="8"/>
      <c r="D7" s="14"/>
      <c r="E7" s="8"/>
      <c r="F7" s="9"/>
      <c r="T7" s="139"/>
      <c r="U7" s="139"/>
      <c r="V7" s="139"/>
      <c r="W7" s="79"/>
    </row>
    <row r="8" spans="2:23" ht="12.75">
      <c r="B8" s="10"/>
      <c r="C8" s="81">
        <v>2011</v>
      </c>
      <c r="D8" s="14" t="s">
        <v>50</v>
      </c>
      <c r="E8" s="23" t="s">
        <v>88</v>
      </c>
      <c r="F8" s="82" t="s">
        <v>89</v>
      </c>
      <c r="T8" s="139"/>
      <c r="U8" s="139"/>
      <c r="V8" s="139"/>
      <c r="W8" s="79"/>
    </row>
    <row r="9" spans="2:23" ht="5.25" customHeight="1">
      <c r="B9" s="11"/>
      <c r="C9" s="12"/>
      <c r="D9" s="12"/>
      <c r="E9" s="12"/>
      <c r="F9" s="13"/>
      <c r="T9" s="139"/>
      <c r="U9" s="139"/>
      <c r="V9" s="139"/>
      <c r="W9" s="79"/>
    </row>
    <row r="10" spans="3:23" ht="7.5" customHeight="1">
      <c r="C10" s="1"/>
      <c r="D10" s="2"/>
      <c r="T10" s="139"/>
      <c r="U10" s="139"/>
      <c r="V10" s="139"/>
      <c r="W10" s="79"/>
    </row>
    <row r="11" spans="2:23" ht="12.75">
      <c r="B11" s="135" t="s">
        <v>104</v>
      </c>
      <c r="C11" s="138"/>
      <c r="D11" s="136"/>
      <c r="E11" s="136"/>
      <c r="F11" s="137"/>
      <c r="T11" s="139"/>
      <c r="U11" s="139"/>
      <c r="V11" s="139"/>
      <c r="W11" s="79"/>
    </row>
    <row r="12" spans="2:23" ht="5.25" customHeight="1">
      <c r="B12" s="7"/>
      <c r="C12" s="15"/>
      <c r="D12" s="8"/>
      <c r="E12" s="8"/>
      <c r="F12" s="9"/>
      <c r="T12" s="139"/>
      <c r="U12" s="139"/>
      <c r="V12" s="139"/>
      <c r="W12" s="79"/>
    </row>
    <row r="13" spans="2:23" ht="12.75">
      <c r="B13" s="7" t="s">
        <v>13</v>
      </c>
      <c r="C13" s="83">
        <v>0.33</v>
      </c>
      <c r="D13" s="14" t="s">
        <v>32</v>
      </c>
      <c r="E13" s="23" t="s">
        <v>105</v>
      </c>
      <c r="F13" s="82" t="s">
        <v>106</v>
      </c>
      <c r="T13" s="139"/>
      <c r="U13" s="139"/>
      <c r="V13" s="139"/>
      <c r="W13" s="79"/>
    </row>
    <row r="14" spans="2:23" ht="6.75" customHeight="1">
      <c r="B14" s="7"/>
      <c r="C14" s="15"/>
      <c r="D14" s="14"/>
      <c r="E14" s="8"/>
      <c r="F14" s="38"/>
      <c r="T14" s="139"/>
      <c r="U14" s="139"/>
      <c r="V14" s="139"/>
      <c r="W14" s="79"/>
    </row>
    <row r="15" spans="2:23" ht="12.75">
      <c r="B15" s="7" t="s">
        <v>33</v>
      </c>
      <c r="D15" s="14" t="s">
        <v>165</v>
      </c>
      <c r="E15" s="8"/>
      <c r="F15" s="9"/>
      <c r="T15" s="139"/>
      <c r="U15" s="139"/>
      <c r="V15" s="139"/>
      <c r="W15" s="79"/>
    </row>
    <row r="16" spans="2:23" ht="5.25" customHeight="1">
      <c r="B16" s="16"/>
      <c r="C16" s="17"/>
      <c r="D16" s="17"/>
      <c r="E16" s="17"/>
      <c r="F16" s="18"/>
      <c r="T16" s="139"/>
      <c r="U16" s="139"/>
      <c r="V16" s="139"/>
      <c r="W16" s="79"/>
    </row>
    <row r="17" spans="20:23" ht="7.5" customHeight="1">
      <c r="T17" s="139"/>
      <c r="U17" s="139"/>
      <c r="V17" s="139"/>
      <c r="W17" s="79"/>
    </row>
    <row r="18" spans="2:23" ht="12.75">
      <c r="B18" s="135" t="s">
        <v>91</v>
      </c>
      <c r="C18" s="136"/>
      <c r="D18" s="136"/>
      <c r="E18" s="136"/>
      <c r="F18" s="137"/>
      <c r="T18" s="139"/>
      <c r="U18" s="139"/>
      <c r="V18" s="139"/>
      <c r="W18" s="79"/>
    </row>
    <row r="19" spans="2:23" ht="5.25" customHeight="1">
      <c r="B19" s="7"/>
      <c r="C19" s="8"/>
      <c r="D19" s="8"/>
      <c r="E19" s="8"/>
      <c r="F19" s="9"/>
      <c r="T19" s="139"/>
      <c r="U19" s="139"/>
      <c r="V19" s="139"/>
      <c r="W19" s="79"/>
    </row>
    <row r="20" spans="2:23" ht="12.75">
      <c r="B20" s="19" t="s">
        <v>92</v>
      </c>
      <c r="C20" s="84">
        <v>10000</v>
      </c>
      <c r="D20" s="20" t="s">
        <v>101</v>
      </c>
      <c r="E20" s="26"/>
      <c r="F20" s="21"/>
      <c r="T20" s="139" t="b">
        <v>1</v>
      </c>
      <c r="U20" s="139">
        <f>IF(T20=FALSE,0,1)</f>
        <v>1</v>
      </c>
      <c r="V20" s="139"/>
      <c r="W20" s="79"/>
    </row>
    <row r="21" spans="2:23" ht="12.75">
      <c r="B21" s="30" t="s">
        <v>93</v>
      </c>
      <c r="C21" s="85">
        <v>0.15</v>
      </c>
      <c r="D21" s="31" t="s">
        <v>94</v>
      </c>
      <c r="E21" s="23" t="s">
        <v>23</v>
      </c>
      <c r="F21" s="86">
        <v>0.07</v>
      </c>
      <c r="T21" s="139"/>
      <c r="U21" s="139"/>
      <c r="V21" s="139"/>
      <c r="W21" s="79"/>
    </row>
    <row r="22" spans="2:23" ht="12.75">
      <c r="B22" s="7"/>
      <c r="C22" s="8"/>
      <c r="D22" s="8"/>
      <c r="E22" s="32" t="s">
        <v>49</v>
      </c>
      <c r="F22" s="87">
        <v>0.08</v>
      </c>
      <c r="T22" s="139" t="s">
        <v>24</v>
      </c>
      <c r="U22" s="139"/>
      <c r="V22" s="139"/>
      <c r="W22" s="79"/>
    </row>
    <row r="23" spans="2:23" ht="12.75">
      <c r="B23" s="19" t="s">
        <v>95</v>
      </c>
      <c r="C23" s="84">
        <v>9000</v>
      </c>
      <c r="D23" s="20" t="s">
        <v>97</v>
      </c>
      <c r="E23" s="32" t="s">
        <v>22</v>
      </c>
      <c r="F23" s="88">
        <v>1</v>
      </c>
      <c r="T23" s="139" t="s">
        <v>25</v>
      </c>
      <c r="U23" s="139"/>
      <c r="V23" s="139"/>
      <c r="W23" s="79"/>
    </row>
    <row r="24" spans="2:23" ht="12.75">
      <c r="B24" s="30" t="s">
        <v>96</v>
      </c>
      <c r="C24" s="85">
        <v>0.07</v>
      </c>
      <c r="D24" s="31" t="s">
        <v>98</v>
      </c>
      <c r="E24" s="33"/>
      <c r="F24" s="9"/>
      <c r="T24" s="139" t="s">
        <v>27</v>
      </c>
      <c r="U24" s="139"/>
      <c r="V24" s="139"/>
      <c r="W24" s="79"/>
    </row>
    <row r="25" spans="2:23" ht="6" customHeight="1">
      <c r="B25" s="7"/>
      <c r="C25" s="8"/>
      <c r="D25" s="8"/>
      <c r="E25" s="34"/>
      <c r="F25" s="35"/>
      <c r="T25" s="139" t="s">
        <v>26</v>
      </c>
      <c r="U25" s="139"/>
      <c r="V25" s="139"/>
      <c r="W25" s="79"/>
    </row>
    <row r="26" spans="2:23" ht="12.75">
      <c r="B26" s="19" t="s">
        <v>20</v>
      </c>
      <c r="C26" s="83" t="s">
        <v>25</v>
      </c>
      <c r="D26" s="20" t="s">
        <v>29</v>
      </c>
      <c r="E26" s="44" t="s">
        <v>100</v>
      </c>
      <c r="F26" s="45"/>
      <c r="T26" s="139"/>
      <c r="U26" s="139"/>
      <c r="V26" s="139"/>
      <c r="W26" s="79"/>
    </row>
    <row r="27" spans="2:23" ht="12.75">
      <c r="B27" s="30"/>
      <c r="C27" s="15"/>
      <c r="D27" s="31" t="s">
        <v>28</v>
      </c>
      <c r="E27" s="46" t="s">
        <v>99</v>
      </c>
      <c r="F27" s="47">
        <f>((C20/(C20+C23))*Ke)+((C23/(C20+C23))*Kd*(1-Tax))</f>
        <v>0.10116315789473684</v>
      </c>
      <c r="T27" s="139"/>
      <c r="U27" s="139"/>
      <c r="V27" s="139"/>
      <c r="W27" s="79"/>
    </row>
    <row r="28" spans="2:23" ht="12.75">
      <c r="B28" s="7" t="s">
        <v>21</v>
      </c>
      <c r="C28" s="83" t="s">
        <v>27</v>
      </c>
      <c r="D28" s="27" t="s">
        <v>30</v>
      </c>
      <c r="E28" s="48" t="s">
        <v>173</v>
      </c>
      <c r="F28" s="21"/>
      <c r="T28" s="139"/>
      <c r="U28" s="139"/>
      <c r="V28" s="139"/>
      <c r="W28" s="79"/>
    </row>
    <row r="29" spans="2:23" ht="12.75">
      <c r="B29" s="16"/>
      <c r="C29" s="28"/>
      <c r="D29" s="29" t="s">
        <v>31</v>
      </c>
      <c r="E29" s="43" t="s">
        <v>163</v>
      </c>
      <c r="F29" s="18"/>
      <c r="T29" s="139"/>
      <c r="U29" s="139"/>
      <c r="V29" s="139"/>
      <c r="W29" s="79"/>
    </row>
    <row r="30" spans="3:23" ht="7.5" customHeight="1">
      <c r="C30" s="1"/>
      <c r="T30" s="139"/>
      <c r="U30" s="139"/>
      <c r="V30" s="139"/>
      <c r="W30" s="79"/>
    </row>
    <row r="31" spans="2:23" ht="12.75">
      <c r="B31" s="135" t="s">
        <v>34</v>
      </c>
      <c r="C31" s="138"/>
      <c r="D31" s="136"/>
      <c r="E31" s="136"/>
      <c r="F31" s="137"/>
      <c r="T31" s="139" t="b">
        <v>0</v>
      </c>
      <c r="U31" s="139">
        <f>IF(T31=FALSE,0,1)</f>
        <v>0</v>
      </c>
      <c r="V31" s="139"/>
      <c r="W31" s="79"/>
    </row>
    <row r="32" spans="2:23" ht="5.25" customHeight="1">
      <c r="B32" s="7"/>
      <c r="C32" s="15"/>
      <c r="D32" s="8"/>
      <c r="E32" s="8"/>
      <c r="F32" s="9"/>
      <c r="T32" s="139"/>
      <c r="U32" s="139"/>
      <c r="V32" s="139"/>
      <c r="W32" s="79"/>
    </row>
    <row r="33" spans="2:23" ht="12.75">
      <c r="B33" s="7" t="s">
        <v>207</v>
      </c>
      <c r="C33" s="15"/>
      <c r="D33" s="14" t="s">
        <v>51</v>
      </c>
      <c r="E33" s="8"/>
      <c r="F33" s="25"/>
      <c r="T33" s="139" t="b">
        <v>1</v>
      </c>
      <c r="U33" s="139">
        <f>IF(T33=FALSE,0,1)</f>
        <v>1</v>
      </c>
      <c r="V33" s="139"/>
      <c r="W33" s="79"/>
    </row>
    <row r="34" spans="2:23" ht="12" customHeight="1">
      <c r="B34" s="7"/>
      <c r="C34" s="15"/>
      <c r="D34" s="14"/>
      <c r="E34" s="8"/>
      <c r="F34" s="25"/>
      <c r="T34" s="139"/>
      <c r="U34" s="139"/>
      <c r="V34" s="139"/>
      <c r="W34" s="79"/>
    </row>
    <row r="35" spans="2:23" ht="12.75">
      <c r="B35" s="7" t="s">
        <v>13</v>
      </c>
      <c r="C35" s="83">
        <v>0.02</v>
      </c>
      <c r="D35" s="14" t="s">
        <v>54</v>
      </c>
      <c r="E35" s="8"/>
      <c r="F35" s="25"/>
      <c r="T35" s="139">
        <v>1</v>
      </c>
      <c r="U35" s="139"/>
      <c r="V35" s="139"/>
      <c r="W35" s="79"/>
    </row>
    <row r="36" spans="2:23" ht="5.25" customHeight="1" hidden="1">
      <c r="B36" s="7"/>
      <c r="C36" s="24"/>
      <c r="D36" s="14"/>
      <c r="E36" s="8"/>
      <c r="F36" s="9"/>
      <c r="T36" s="139"/>
      <c r="U36" s="139"/>
      <c r="V36" s="139"/>
      <c r="W36" s="79"/>
    </row>
    <row r="37" spans="2:23" ht="12.75" hidden="1">
      <c r="B37" s="7" t="s">
        <v>52</v>
      </c>
      <c r="C37" s="89">
        <v>25</v>
      </c>
      <c r="D37" s="14" t="s">
        <v>55</v>
      </c>
      <c r="E37" s="8"/>
      <c r="F37" s="9"/>
      <c r="T37" s="139"/>
      <c r="U37" s="139"/>
      <c r="V37" s="139"/>
      <c r="W37" s="79"/>
    </row>
    <row r="38" spans="2:23" ht="12.75" hidden="1">
      <c r="B38" s="7" t="s">
        <v>53</v>
      </c>
      <c r="C38" s="90">
        <v>40</v>
      </c>
      <c r="D38" s="14" t="s">
        <v>56</v>
      </c>
      <c r="E38" s="8"/>
      <c r="F38" s="9"/>
      <c r="T38" s="139"/>
      <c r="U38" s="139"/>
      <c r="V38" s="139"/>
      <c r="W38" s="79"/>
    </row>
    <row r="39" spans="2:23" ht="3.75" customHeight="1">
      <c r="B39" s="7"/>
      <c r="C39" s="14"/>
      <c r="D39" s="14"/>
      <c r="E39" s="8"/>
      <c r="F39" s="9"/>
      <c r="T39" s="139"/>
      <c r="U39" s="139"/>
      <c r="V39" s="139"/>
      <c r="W39" s="79"/>
    </row>
    <row r="40" spans="2:23" ht="12.75">
      <c r="B40" s="7" t="s">
        <v>174</v>
      </c>
      <c r="C40" s="91">
        <v>0</v>
      </c>
      <c r="D40" s="14" t="str">
        <f>"Ongoing annual capital expenditure requirement "&amp;IF(T35=2,"for terminal period","into perpetuity")</f>
        <v>Ongoing annual capital expenditure requirement into perpetuity</v>
      </c>
      <c r="E40" s="8"/>
      <c r="F40" s="9"/>
      <c r="T40" s="139"/>
      <c r="U40" s="139"/>
      <c r="V40" s="139"/>
      <c r="W40" s="79"/>
    </row>
    <row r="41" spans="2:23" ht="5.25" customHeight="1">
      <c r="B41" s="16"/>
      <c r="C41" s="17"/>
      <c r="D41" s="17"/>
      <c r="E41" s="17"/>
      <c r="F41" s="18"/>
      <c r="T41" s="139"/>
      <c r="U41" s="139">
        <v>1</v>
      </c>
      <c r="V41" s="139"/>
      <c r="W41" s="79"/>
    </row>
    <row r="42" spans="20:23" ht="7.5" customHeight="1">
      <c r="T42" s="139"/>
      <c r="U42" s="139">
        <v>1</v>
      </c>
      <c r="V42" s="139" t="s">
        <v>110</v>
      </c>
      <c r="W42" s="79"/>
    </row>
    <row r="43" spans="2:23" ht="12.75">
      <c r="B43" s="135" t="s">
        <v>169</v>
      </c>
      <c r="C43" s="136"/>
      <c r="D43" s="136"/>
      <c r="E43" s="136"/>
      <c r="F43" s="137"/>
      <c r="T43" s="139" t="s">
        <v>110</v>
      </c>
      <c r="U43" s="139" t="s">
        <v>110</v>
      </c>
      <c r="V43" s="139" t="s">
        <v>111</v>
      </c>
      <c r="W43" s="79"/>
    </row>
    <row r="44" spans="2:23" ht="12.75" customHeight="1">
      <c r="B44" s="60" t="s">
        <v>170</v>
      </c>
      <c r="C44" s="41" t="s">
        <v>167</v>
      </c>
      <c r="D44" s="8"/>
      <c r="E44" s="8"/>
      <c r="F44" s="9"/>
      <c r="T44" s="139"/>
      <c r="U44" s="139"/>
      <c r="V44" s="139"/>
      <c r="W44" s="79"/>
    </row>
    <row r="45" spans="2:23" ht="12.75">
      <c r="B45" s="92">
        <v>0.1</v>
      </c>
      <c r="C45" s="140">
        <f>T45/T$55</f>
        <v>0.4</v>
      </c>
      <c r="D45" s="14" t="s">
        <v>168</v>
      </c>
      <c r="E45" s="8"/>
      <c r="F45" s="9"/>
      <c r="T45" s="139">
        <v>40</v>
      </c>
      <c r="U45" s="139">
        <v>40</v>
      </c>
      <c r="V45" s="139">
        <v>20</v>
      </c>
      <c r="W45" s="79"/>
    </row>
    <row r="46" spans="2:23" ht="3.75" customHeight="1">
      <c r="B46" s="7"/>
      <c r="C46" s="141"/>
      <c r="D46" s="14"/>
      <c r="E46" s="8"/>
      <c r="F46" s="9"/>
      <c r="T46" s="139"/>
      <c r="U46" s="139"/>
      <c r="V46" s="139"/>
      <c r="W46" s="79"/>
    </row>
    <row r="47" spans="2:23" ht="12.75">
      <c r="B47" s="91">
        <v>500</v>
      </c>
      <c r="C47" s="140">
        <f>T47/T$55</f>
        <v>0.25</v>
      </c>
      <c r="D47" s="14" t="s">
        <v>108</v>
      </c>
      <c r="E47" s="8"/>
      <c r="F47" s="9"/>
      <c r="T47" s="139">
        <v>25</v>
      </c>
      <c r="U47" s="139">
        <v>25</v>
      </c>
      <c r="V47" s="139">
        <v>40</v>
      </c>
      <c r="W47" s="79"/>
    </row>
    <row r="48" spans="2:23" ht="3.75" customHeight="1">
      <c r="B48" s="7"/>
      <c r="C48" s="141"/>
      <c r="D48" s="14"/>
      <c r="E48" s="8"/>
      <c r="F48" s="9"/>
      <c r="T48" s="139"/>
      <c r="U48" s="139"/>
      <c r="V48" s="139"/>
      <c r="W48" s="79"/>
    </row>
    <row r="49" spans="2:23" ht="12.75">
      <c r="B49" s="93">
        <v>3</v>
      </c>
      <c r="C49" s="140">
        <f>T49/T$55</f>
        <v>0.05</v>
      </c>
      <c r="D49" s="14" t="s">
        <v>107</v>
      </c>
      <c r="E49" s="8"/>
      <c r="F49" s="9"/>
      <c r="T49" s="139">
        <v>5</v>
      </c>
      <c r="U49" s="139">
        <v>5</v>
      </c>
      <c r="V49" s="139">
        <v>20</v>
      </c>
      <c r="W49" s="79"/>
    </row>
    <row r="50" spans="2:23" ht="3.75" customHeight="1">
      <c r="B50" s="7"/>
      <c r="C50" s="141"/>
      <c r="D50" s="14"/>
      <c r="E50" s="8"/>
      <c r="F50" s="9"/>
      <c r="T50" s="139"/>
      <c r="U50" s="139"/>
      <c r="V50" s="139"/>
      <c r="W50" s="79"/>
    </row>
    <row r="51" spans="2:23" ht="12.75">
      <c r="B51" s="93">
        <v>5</v>
      </c>
      <c r="C51" s="140">
        <f>T51/T$55</f>
        <v>0.15</v>
      </c>
      <c r="D51" s="14" t="s">
        <v>185</v>
      </c>
      <c r="E51" s="8"/>
      <c r="F51" s="9"/>
      <c r="T51" s="139">
        <v>15</v>
      </c>
      <c r="U51" s="139">
        <v>15</v>
      </c>
      <c r="V51" s="139">
        <v>10</v>
      </c>
      <c r="W51" s="79"/>
    </row>
    <row r="52" spans="2:23" ht="3.75" customHeight="1">
      <c r="B52" s="7"/>
      <c r="C52" s="141"/>
      <c r="D52" s="14"/>
      <c r="E52" s="8"/>
      <c r="F52" s="9"/>
      <c r="T52" s="139"/>
      <c r="U52" s="139"/>
      <c r="V52" s="139"/>
      <c r="W52" s="79"/>
    </row>
    <row r="53" spans="2:23" ht="12.75">
      <c r="B53" s="91">
        <v>500</v>
      </c>
      <c r="C53" s="140">
        <f>T53/T$55</f>
        <v>0.15</v>
      </c>
      <c r="D53" s="14" t="s">
        <v>109</v>
      </c>
      <c r="E53" s="8"/>
      <c r="F53" s="9"/>
      <c r="T53" s="139">
        <v>15</v>
      </c>
      <c r="U53" s="139">
        <v>15</v>
      </c>
      <c r="V53" s="139">
        <v>10</v>
      </c>
      <c r="W53" s="79"/>
    </row>
    <row r="54" spans="2:23" ht="5.25" customHeight="1">
      <c r="B54" s="7"/>
      <c r="C54" s="141"/>
      <c r="D54" s="8"/>
      <c r="E54" s="8"/>
      <c r="F54" s="9"/>
      <c r="T54" s="139"/>
      <c r="U54" s="139"/>
      <c r="V54" s="139"/>
      <c r="W54" s="79"/>
    </row>
    <row r="55" spans="2:23" ht="12.75">
      <c r="B55" s="7"/>
      <c r="C55" s="142">
        <f>SUM(C45:C53)</f>
        <v>1</v>
      </c>
      <c r="D55" s="23" t="s">
        <v>112</v>
      </c>
      <c r="E55" s="8"/>
      <c r="F55" s="9"/>
      <c r="T55" s="139">
        <f>SUM(T45:T53)</f>
        <v>100</v>
      </c>
      <c r="U55" s="139">
        <f>SUM(U45:U53)</f>
        <v>100</v>
      </c>
      <c r="V55" s="139">
        <f>SUM(V45:V53)</f>
        <v>100</v>
      </c>
      <c r="W55" s="79"/>
    </row>
    <row r="56" spans="2:23" ht="6" customHeight="1">
      <c r="B56" s="16"/>
      <c r="C56" s="17"/>
      <c r="D56" s="17"/>
      <c r="E56" s="17"/>
      <c r="F56" s="18"/>
      <c r="T56" s="79"/>
      <c r="U56" s="79"/>
      <c r="V56" s="79"/>
      <c r="W56" s="79"/>
    </row>
  </sheetData>
  <sheetProtection/>
  <mergeCells count="1">
    <mergeCell ref="B1:F1"/>
  </mergeCells>
  <dataValidations count="4">
    <dataValidation type="list" allowBlank="1" showInputMessage="1" showErrorMessage="1" sqref="C26">
      <formula1>$T$22:$T$23</formula1>
    </dataValidation>
    <dataValidation type="list" allowBlank="1" showInputMessage="1" showErrorMessage="1" sqref="C28">
      <formula1>$T$24:$T$25</formula1>
    </dataValidation>
    <dataValidation errorStyle="information" type="whole" allowBlank="1" showInputMessage="1" showErrorMessage="1" errorTitle="Invalid Year range" error="Year must be between 6 and 100." sqref="C37:C39">
      <formula1>6</formula1>
      <formula2>100</formula2>
    </dataValidation>
    <dataValidation errorStyle="information" allowBlank="1" showInputMessage="1" showErrorMessage="1" errorTitle="Invalid Year range" error="Year must be between 6 and 100." sqref="C40"/>
  </dataValidations>
  <printOptions/>
  <pageMargins left="0.75" right="0.75" top="1" bottom="1" header="0.5" footer="0.5"/>
  <pageSetup horizontalDpi="200" verticalDpi="200" orientation="portrait" r:id="rId3"/>
  <drawing r:id="rId2"/>
  <legacyDrawing r:id="rId1"/>
</worksheet>
</file>

<file path=xl/worksheets/sheet2.xml><?xml version="1.0" encoding="utf-8"?>
<worksheet xmlns="http://schemas.openxmlformats.org/spreadsheetml/2006/main" xmlns:r="http://schemas.openxmlformats.org/officeDocument/2006/relationships">
  <sheetPr codeName="Sheet2"/>
  <dimension ref="B2:T286"/>
  <sheetViews>
    <sheetView showGridLines="0" workbookViewId="0" topLeftCell="A1">
      <selection activeCell="C7" sqref="C7"/>
    </sheetView>
  </sheetViews>
  <sheetFormatPr defaultColWidth="9.140625" defaultRowHeight="12.75"/>
  <cols>
    <col min="1" max="1" width="1.57421875" style="0" customWidth="1"/>
    <col min="2" max="2" width="6.421875" style="0" customWidth="1"/>
    <col min="3" max="3" width="23.8515625" style="0" customWidth="1"/>
    <col min="4" max="4" width="1.1484375" style="0" customWidth="1"/>
    <col min="13" max="14" width="10.28125" style="0" bestFit="1" customWidth="1"/>
    <col min="15" max="15" width="0.85546875" style="0" customWidth="1"/>
  </cols>
  <sheetData>
    <row r="1" ht="6.75" customHeight="1"/>
    <row r="2" spans="2:15" ht="15">
      <c r="B2" s="285" t="str">
        <f>"INPUT ASSUMPTIONS FOR "&amp;TEXT(Assumptions!D6,"0")&amp;" (Before "&amp;TEXT(Assumptions!D5,"0")&amp;")"</f>
        <v>INPUT ASSUMPTIONS FOR Status Quo (Before New Investment)</v>
      </c>
      <c r="C2" s="286"/>
      <c r="D2" s="286"/>
      <c r="E2" s="286"/>
      <c r="F2" s="286"/>
      <c r="G2" s="286"/>
      <c r="H2" s="286"/>
      <c r="I2" s="286"/>
      <c r="J2" s="286"/>
      <c r="K2" s="286"/>
      <c r="L2" s="286"/>
      <c r="M2" s="286"/>
      <c r="N2" s="286"/>
      <c r="O2" s="287"/>
    </row>
    <row r="3" spans="2:15" ht="4.5" customHeight="1">
      <c r="B3" s="8"/>
      <c r="C3" s="8"/>
      <c r="D3" s="8"/>
      <c r="E3" s="8"/>
      <c r="F3" s="8"/>
      <c r="G3" s="8"/>
      <c r="H3" s="8"/>
      <c r="I3" s="8"/>
      <c r="J3" s="8"/>
      <c r="K3" s="8"/>
      <c r="L3" s="8"/>
      <c r="M3" s="8"/>
      <c r="N3" s="8"/>
      <c r="O3" s="8"/>
    </row>
    <row r="4" spans="2:15" ht="12.75">
      <c r="B4" s="57" t="str">
        <f>Assumptions!F8</f>
        <v>$000</v>
      </c>
      <c r="C4" s="58" t="s">
        <v>172</v>
      </c>
      <c r="D4" s="5"/>
      <c r="E4" s="40" t="s">
        <v>0</v>
      </c>
      <c r="F4" s="40" t="s">
        <v>1</v>
      </c>
      <c r="G4" s="40" t="s">
        <v>2</v>
      </c>
      <c r="H4" s="40" t="s">
        <v>3</v>
      </c>
      <c r="I4" s="40" t="s">
        <v>4</v>
      </c>
      <c r="J4" s="40" t="s">
        <v>5</v>
      </c>
      <c r="K4" s="40" t="s">
        <v>6</v>
      </c>
      <c r="L4" s="294" t="s">
        <v>113</v>
      </c>
      <c r="M4" s="294"/>
      <c r="N4" s="294"/>
      <c r="O4" s="6"/>
    </row>
    <row r="5" spans="2:15" ht="12.75" customHeight="1">
      <c r="B5" s="7"/>
      <c r="C5" s="8"/>
      <c r="D5" s="8"/>
      <c r="E5" s="52">
        <f>F5-1</f>
        <v>2010</v>
      </c>
      <c r="F5" s="52">
        <f>Assumptions!C8</f>
        <v>2011</v>
      </c>
      <c r="G5" s="52">
        <f>F5+1</f>
        <v>2012</v>
      </c>
      <c r="H5" s="52">
        <f>G5+1</f>
        <v>2013</v>
      </c>
      <c r="I5" s="52">
        <f>H5+1</f>
        <v>2014</v>
      </c>
      <c r="J5" s="52">
        <f>I5+1</f>
        <v>2015</v>
      </c>
      <c r="K5" s="8"/>
      <c r="L5" s="8"/>
      <c r="M5" s="8"/>
      <c r="N5" s="8"/>
      <c r="O5" s="9"/>
    </row>
    <row r="6" spans="2:15" ht="12.75">
      <c r="B6" s="7"/>
      <c r="C6" s="49" t="s">
        <v>7</v>
      </c>
      <c r="D6" s="8"/>
      <c r="E6" s="8"/>
      <c r="F6" s="8"/>
      <c r="G6" s="8"/>
      <c r="H6" s="8"/>
      <c r="I6" s="8"/>
      <c r="J6" s="8"/>
      <c r="K6" s="8"/>
      <c r="L6" s="8"/>
      <c r="M6" s="8"/>
      <c r="N6" s="8"/>
      <c r="O6" s="9"/>
    </row>
    <row r="7" spans="2:15" ht="12.75">
      <c r="B7" s="7"/>
      <c r="C7" s="94"/>
      <c r="D7" s="14"/>
      <c r="E7" s="22"/>
      <c r="F7" s="96"/>
      <c r="G7" s="97"/>
      <c r="H7" s="97"/>
      <c r="I7" s="97"/>
      <c r="J7" s="98"/>
      <c r="K7" s="3">
        <f>SUM(F7:J7)</f>
        <v>0</v>
      </c>
      <c r="L7" s="295"/>
      <c r="M7" s="296"/>
      <c r="N7" s="297"/>
      <c r="O7" s="9"/>
    </row>
    <row r="8" spans="2:15" ht="12.75">
      <c r="B8" s="7"/>
      <c r="C8" s="95"/>
      <c r="D8" s="14"/>
      <c r="E8" s="22"/>
      <c r="F8" s="99"/>
      <c r="G8" s="100"/>
      <c r="H8" s="100"/>
      <c r="I8" s="100"/>
      <c r="J8" s="101"/>
      <c r="K8" s="39">
        <f>SUM(F8:J8)</f>
        <v>0</v>
      </c>
      <c r="L8" s="298"/>
      <c r="M8" s="299"/>
      <c r="N8" s="300"/>
      <c r="O8" s="9"/>
    </row>
    <row r="9" spans="2:15" ht="6.75" customHeight="1">
      <c r="B9" s="7"/>
      <c r="C9" s="8"/>
      <c r="D9" s="8"/>
      <c r="E9" s="50"/>
      <c r="F9" s="50"/>
      <c r="G9" s="50"/>
      <c r="H9" s="50"/>
      <c r="I9" s="50"/>
      <c r="J9" s="50"/>
      <c r="K9" s="8"/>
      <c r="L9" s="8"/>
      <c r="M9" s="8"/>
      <c r="N9" s="8"/>
      <c r="O9" s="9"/>
    </row>
    <row r="10" spans="2:15" ht="12.75">
      <c r="B10" s="7"/>
      <c r="C10" s="49" t="s">
        <v>8</v>
      </c>
      <c r="D10" s="8"/>
      <c r="E10" s="50"/>
      <c r="F10" s="50"/>
      <c r="G10" s="50"/>
      <c r="H10" s="50"/>
      <c r="I10" s="50"/>
      <c r="J10" s="50"/>
      <c r="K10" s="8"/>
      <c r="L10" s="8"/>
      <c r="M10" s="8"/>
      <c r="N10" s="8"/>
      <c r="O10" s="9"/>
    </row>
    <row r="11" spans="2:15" ht="12.75">
      <c r="B11" s="7"/>
      <c r="C11" s="94"/>
      <c r="D11" s="14"/>
      <c r="E11" s="96"/>
      <c r="F11" s="97"/>
      <c r="G11" s="97"/>
      <c r="H11" s="97"/>
      <c r="I11" s="97"/>
      <c r="J11" s="98"/>
      <c r="K11" s="3">
        <f>SUM(F11:J11)</f>
        <v>0</v>
      </c>
      <c r="L11" s="295"/>
      <c r="M11" s="296"/>
      <c r="N11" s="297"/>
      <c r="O11" s="9"/>
    </row>
    <row r="12" spans="2:15" ht="12.75">
      <c r="B12" s="7"/>
      <c r="C12" s="95"/>
      <c r="D12" s="14"/>
      <c r="E12" s="99"/>
      <c r="F12" s="100"/>
      <c r="G12" s="100"/>
      <c r="H12" s="100"/>
      <c r="I12" s="100"/>
      <c r="J12" s="101"/>
      <c r="K12" s="39">
        <f>SUM(F12:J12)</f>
        <v>0</v>
      </c>
      <c r="L12" s="298"/>
      <c r="M12" s="299"/>
      <c r="N12" s="300"/>
      <c r="O12" s="9"/>
    </row>
    <row r="13" spans="2:15" ht="6" customHeight="1">
      <c r="B13" s="7"/>
      <c r="C13" s="8"/>
      <c r="D13" s="8"/>
      <c r="E13" s="50"/>
      <c r="F13" s="50"/>
      <c r="G13" s="50"/>
      <c r="H13" s="50"/>
      <c r="I13" s="50"/>
      <c r="J13" s="50"/>
      <c r="K13" s="8"/>
      <c r="L13" s="8"/>
      <c r="M13" s="8"/>
      <c r="N13" s="8"/>
      <c r="O13" s="9"/>
    </row>
    <row r="14" spans="2:15" ht="12.75">
      <c r="B14" s="7"/>
      <c r="C14" s="49" t="s">
        <v>46</v>
      </c>
      <c r="D14" s="8"/>
      <c r="E14" s="50"/>
      <c r="F14" s="50"/>
      <c r="G14" s="50"/>
      <c r="H14" s="50"/>
      <c r="I14" s="50"/>
      <c r="J14" s="50"/>
      <c r="K14" s="8"/>
      <c r="L14" s="8"/>
      <c r="M14" s="8"/>
      <c r="N14" s="8"/>
      <c r="O14" s="9"/>
    </row>
    <row r="15" spans="2:15" ht="12.75">
      <c r="B15" s="7"/>
      <c r="C15" s="94"/>
      <c r="D15" s="14"/>
      <c r="E15" s="96"/>
      <c r="F15" s="97"/>
      <c r="G15" s="97"/>
      <c r="H15" s="97"/>
      <c r="I15" s="97"/>
      <c r="J15" s="97"/>
      <c r="K15" s="3">
        <f>SUM(E15:J15)</f>
        <v>0</v>
      </c>
      <c r="L15" s="295"/>
      <c r="M15" s="296"/>
      <c r="N15" s="297"/>
      <c r="O15" s="9"/>
    </row>
    <row r="16" spans="2:15" ht="12.75">
      <c r="B16" s="7"/>
      <c r="C16" s="95"/>
      <c r="D16" s="14"/>
      <c r="E16" s="99"/>
      <c r="F16" s="100"/>
      <c r="G16" s="100"/>
      <c r="H16" s="100"/>
      <c r="I16" s="100"/>
      <c r="J16" s="100"/>
      <c r="K16" s="39">
        <f>SUM(E16:J16)</f>
        <v>0</v>
      </c>
      <c r="L16" s="298"/>
      <c r="M16" s="299"/>
      <c r="N16" s="300"/>
      <c r="O16" s="9"/>
    </row>
    <row r="17" spans="2:15" ht="6.75" customHeight="1">
      <c r="B17" s="7"/>
      <c r="C17" s="8"/>
      <c r="D17" s="8"/>
      <c r="E17" s="50"/>
      <c r="F17" s="50"/>
      <c r="G17" s="50"/>
      <c r="H17" s="50"/>
      <c r="I17" s="50"/>
      <c r="J17" s="50"/>
      <c r="K17" s="8"/>
      <c r="L17" s="8"/>
      <c r="M17" s="8"/>
      <c r="N17" s="8"/>
      <c r="O17" s="9"/>
    </row>
    <row r="18" spans="2:15" ht="12.75">
      <c r="B18" s="7"/>
      <c r="C18" s="49" t="s">
        <v>69</v>
      </c>
      <c r="D18" s="8"/>
      <c r="E18" s="50"/>
      <c r="F18" s="50"/>
      <c r="G18" s="50"/>
      <c r="H18" s="50"/>
      <c r="I18" s="50"/>
      <c r="J18" s="50"/>
      <c r="K18" s="53" t="s">
        <v>164</v>
      </c>
      <c r="L18" s="8"/>
      <c r="M18" s="8"/>
      <c r="N18" s="8"/>
      <c r="O18" s="9"/>
    </row>
    <row r="19" spans="2:16" ht="12.75">
      <c r="B19" s="7"/>
      <c r="C19" s="94"/>
      <c r="D19" s="14"/>
      <c r="E19" s="96"/>
      <c r="F19" s="97"/>
      <c r="G19" s="97"/>
      <c r="H19" s="97"/>
      <c r="I19" s="97"/>
      <c r="J19" s="97"/>
      <c r="K19" s="104">
        <v>1</v>
      </c>
      <c r="L19" s="295"/>
      <c r="M19" s="296"/>
      <c r="N19" s="297"/>
      <c r="O19" s="9"/>
      <c r="P19" s="54">
        <f>IF(K19="","Amort Yrs must be entered!","")</f>
      </c>
    </row>
    <row r="20" spans="2:16" ht="12.75">
      <c r="B20" s="7"/>
      <c r="C20" s="102"/>
      <c r="D20" s="14"/>
      <c r="E20" s="105"/>
      <c r="F20" s="106"/>
      <c r="G20" s="106"/>
      <c r="H20" s="106"/>
      <c r="I20" s="106"/>
      <c r="J20" s="106"/>
      <c r="K20" s="107">
        <v>1</v>
      </c>
      <c r="L20" s="301"/>
      <c r="M20" s="302"/>
      <c r="N20" s="303"/>
      <c r="O20" s="9"/>
      <c r="P20" s="54">
        <f>IF(K20="","Amort Yrs must be entered!","")</f>
      </c>
    </row>
    <row r="21" spans="2:16" ht="12.75">
      <c r="B21" s="7"/>
      <c r="C21" s="103"/>
      <c r="D21" s="14"/>
      <c r="E21" s="108"/>
      <c r="F21" s="109"/>
      <c r="G21" s="109"/>
      <c r="H21" s="109"/>
      <c r="I21" s="109"/>
      <c r="J21" s="109"/>
      <c r="K21" s="110">
        <v>1</v>
      </c>
      <c r="L21" s="291"/>
      <c r="M21" s="292"/>
      <c r="N21" s="293"/>
      <c r="O21" s="9"/>
      <c r="P21" s="54">
        <f>IF(K21="","Amort Yrs must be entered!","")</f>
      </c>
    </row>
    <row r="22" spans="2:15" ht="6.75" customHeight="1">
      <c r="B22" s="7"/>
      <c r="C22" s="8"/>
      <c r="D22" s="8"/>
      <c r="E22" s="8"/>
      <c r="F22" s="8"/>
      <c r="G22" s="8"/>
      <c r="H22" s="8"/>
      <c r="I22" s="8"/>
      <c r="J22" s="8"/>
      <c r="K22" s="8"/>
      <c r="L22" s="8"/>
      <c r="M22" s="8"/>
      <c r="N22" s="8"/>
      <c r="O22" s="9"/>
    </row>
    <row r="23" spans="2:15" ht="12.75">
      <c r="B23" s="7"/>
      <c r="C23" s="49" t="s">
        <v>48</v>
      </c>
      <c r="D23" s="8"/>
      <c r="E23" s="304" t="s">
        <v>38</v>
      </c>
      <c r="F23" s="304"/>
      <c r="G23" s="304"/>
      <c r="H23" s="304" t="s">
        <v>10</v>
      </c>
      <c r="I23" s="304"/>
      <c r="J23" s="304"/>
      <c r="K23" s="304" t="s">
        <v>15</v>
      </c>
      <c r="L23" s="304"/>
      <c r="M23" s="304"/>
      <c r="N23" s="55" t="s">
        <v>114</v>
      </c>
      <c r="O23" s="9"/>
    </row>
    <row r="24" spans="2:20" ht="12.75">
      <c r="B24" s="7"/>
      <c r="C24" s="8"/>
      <c r="D24" s="8"/>
      <c r="E24" s="4" t="s">
        <v>35</v>
      </c>
      <c r="F24" s="4" t="s">
        <v>11</v>
      </c>
      <c r="G24" s="4" t="s">
        <v>157</v>
      </c>
      <c r="H24" s="4" t="s">
        <v>12</v>
      </c>
      <c r="I24" s="4" t="s">
        <v>13</v>
      </c>
      <c r="J24" s="4" t="s">
        <v>14</v>
      </c>
      <c r="K24" s="4" t="s">
        <v>12</v>
      </c>
      <c r="L24" s="4" t="s">
        <v>13</v>
      </c>
      <c r="M24" s="4" t="s">
        <v>14</v>
      </c>
      <c r="N24" s="56" t="s">
        <v>87</v>
      </c>
      <c r="O24" s="9"/>
      <c r="T24" s="79" t="s">
        <v>16</v>
      </c>
    </row>
    <row r="25" spans="2:20" ht="12.75">
      <c r="B25" s="7"/>
      <c r="C25" s="94"/>
      <c r="D25" s="14"/>
      <c r="E25" s="111"/>
      <c r="F25" s="112"/>
      <c r="G25" s="113"/>
      <c r="H25" s="96"/>
      <c r="I25" s="114"/>
      <c r="J25" s="115"/>
      <c r="K25" s="96"/>
      <c r="L25" s="114"/>
      <c r="M25" s="115"/>
      <c r="N25" s="104"/>
      <c r="O25" s="9"/>
      <c r="T25" s="79" t="s">
        <v>36</v>
      </c>
    </row>
    <row r="26" spans="2:20" ht="12.75">
      <c r="B26" s="7"/>
      <c r="C26" s="102"/>
      <c r="D26" s="14"/>
      <c r="E26" s="116"/>
      <c r="F26" s="117"/>
      <c r="G26" s="118"/>
      <c r="H26" s="105"/>
      <c r="I26" s="119"/>
      <c r="J26" s="120"/>
      <c r="K26" s="105"/>
      <c r="L26" s="119"/>
      <c r="M26" s="120"/>
      <c r="N26" s="107"/>
      <c r="O26" s="9"/>
      <c r="T26" s="79"/>
    </row>
    <row r="27" spans="2:20" ht="12.75">
      <c r="B27" s="7"/>
      <c r="C27" s="102"/>
      <c r="D27" s="14"/>
      <c r="E27" s="116"/>
      <c r="F27" s="117"/>
      <c r="G27" s="118"/>
      <c r="H27" s="105"/>
      <c r="I27" s="119"/>
      <c r="J27" s="120"/>
      <c r="K27" s="105"/>
      <c r="L27" s="119"/>
      <c r="M27" s="120"/>
      <c r="N27" s="107"/>
      <c r="O27" s="51"/>
      <c r="T27" s="79"/>
    </row>
    <row r="28" spans="2:20" ht="12.75">
      <c r="B28" s="7"/>
      <c r="C28" s="102"/>
      <c r="D28" s="14"/>
      <c r="E28" s="116"/>
      <c r="F28" s="117"/>
      <c r="G28" s="118"/>
      <c r="H28" s="105"/>
      <c r="I28" s="119"/>
      <c r="J28" s="120"/>
      <c r="K28" s="105"/>
      <c r="L28" s="119"/>
      <c r="M28" s="120"/>
      <c r="N28" s="107"/>
      <c r="O28" s="9"/>
      <c r="T28" s="79"/>
    </row>
    <row r="29" spans="2:20" ht="12.75">
      <c r="B29" s="7"/>
      <c r="C29" s="103"/>
      <c r="D29" s="14"/>
      <c r="E29" s="121"/>
      <c r="F29" s="122"/>
      <c r="G29" s="123"/>
      <c r="H29" s="108"/>
      <c r="I29" s="124"/>
      <c r="J29" s="125"/>
      <c r="K29" s="108"/>
      <c r="L29" s="124"/>
      <c r="M29" s="125"/>
      <c r="N29" s="110"/>
      <c r="O29" s="9"/>
      <c r="T29" s="79"/>
    </row>
    <row r="30" spans="2:20" ht="6.75" customHeight="1">
      <c r="B30" s="7"/>
      <c r="C30" s="8"/>
      <c r="D30" s="8"/>
      <c r="E30" s="8"/>
      <c r="F30" s="8"/>
      <c r="G30" s="8"/>
      <c r="H30" s="8"/>
      <c r="I30" s="8"/>
      <c r="J30" s="8"/>
      <c r="K30" s="8"/>
      <c r="L30" s="8"/>
      <c r="M30" s="8"/>
      <c r="N30" s="8"/>
      <c r="O30" s="9"/>
      <c r="T30" s="79"/>
    </row>
    <row r="31" spans="2:20" ht="12.75">
      <c r="B31" s="7"/>
      <c r="C31" s="49" t="s">
        <v>9</v>
      </c>
      <c r="D31" s="8"/>
      <c r="E31" s="304" t="s">
        <v>37</v>
      </c>
      <c r="F31" s="304"/>
      <c r="G31" s="304"/>
      <c r="H31" s="304"/>
      <c r="I31" s="304"/>
      <c r="J31" s="304" t="s">
        <v>10</v>
      </c>
      <c r="K31" s="304"/>
      <c r="L31" s="304" t="s">
        <v>15</v>
      </c>
      <c r="M31" s="304"/>
      <c r="N31" s="36" t="s">
        <v>102</v>
      </c>
      <c r="O31" s="9"/>
      <c r="T31" s="79"/>
    </row>
    <row r="32" spans="2:20" ht="12.75">
      <c r="B32" s="7"/>
      <c r="C32" s="8"/>
      <c r="D32" s="8"/>
      <c r="E32" s="4" t="s">
        <v>35</v>
      </c>
      <c r="F32" s="4" t="s">
        <v>39</v>
      </c>
      <c r="G32" s="4" t="s">
        <v>40</v>
      </c>
      <c r="H32" s="4" t="s">
        <v>171</v>
      </c>
      <c r="I32" s="4" t="s">
        <v>157</v>
      </c>
      <c r="J32" s="4" t="s">
        <v>13</v>
      </c>
      <c r="K32" s="4" t="s">
        <v>14</v>
      </c>
      <c r="L32" s="4" t="s">
        <v>13</v>
      </c>
      <c r="M32" s="4" t="s">
        <v>14</v>
      </c>
      <c r="N32" s="37" t="s">
        <v>103</v>
      </c>
      <c r="O32" s="9"/>
      <c r="T32" s="79">
        <v>0</v>
      </c>
    </row>
    <row r="33" spans="2:20" ht="12.75">
      <c r="B33" s="7"/>
      <c r="C33" s="94"/>
      <c r="D33" s="14"/>
      <c r="E33" s="111"/>
      <c r="F33" s="126"/>
      <c r="G33" s="97"/>
      <c r="H33" s="97"/>
      <c r="I33" s="113"/>
      <c r="J33" s="127"/>
      <c r="K33" s="115"/>
      <c r="L33" s="114"/>
      <c r="M33" s="115"/>
      <c r="N33" s="128">
        <f>IF(ISERROR(Assumptions!$C$20/(Assumptions!$C$20+Assumptions!$C$23)),"",Assumptions!$C$20/(Assumptions!$C$20+Assumptions!$C$23))</f>
        <v>0.5263157894736842</v>
      </c>
      <c r="O33" s="9"/>
      <c r="T33" s="79">
        <v>1</v>
      </c>
    </row>
    <row r="34" spans="2:20" ht="12.75">
      <c r="B34" s="7"/>
      <c r="C34" s="102"/>
      <c r="D34" s="14"/>
      <c r="E34" s="116"/>
      <c r="F34" s="129"/>
      <c r="G34" s="106"/>
      <c r="H34" s="106"/>
      <c r="I34" s="118"/>
      <c r="J34" s="130"/>
      <c r="K34" s="120"/>
      <c r="L34" s="119"/>
      <c r="M34" s="120"/>
      <c r="N34" s="131">
        <f>IF(ISERROR(Assumptions!$C$20/(Assumptions!$C$20+Assumptions!$C$23)),"",Assumptions!$C$20/(Assumptions!$C$20+Assumptions!$C$23))</f>
        <v>0.5263157894736842</v>
      </c>
      <c r="O34" s="9"/>
      <c r="T34" s="79">
        <v>2</v>
      </c>
    </row>
    <row r="35" spans="2:20" ht="12.75">
      <c r="B35" s="7"/>
      <c r="C35" s="102"/>
      <c r="D35" s="14"/>
      <c r="E35" s="116"/>
      <c r="F35" s="129"/>
      <c r="G35" s="106"/>
      <c r="H35" s="106"/>
      <c r="I35" s="118"/>
      <c r="J35" s="130"/>
      <c r="K35" s="120"/>
      <c r="L35" s="119"/>
      <c r="M35" s="120"/>
      <c r="N35" s="131">
        <f>IF(ISERROR(Assumptions!$C$20/(Assumptions!$C$20+Assumptions!$C$23)),"",Assumptions!$C$20/(Assumptions!$C$20+Assumptions!$C$23))</f>
        <v>0.5263157894736842</v>
      </c>
      <c r="O35" s="9"/>
      <c r="T35" s="79">
        <v>3</v>
      </c>
    </row>
    <row r="36" spans="2:20" ht="12.75">
      <c r="B36" s="7"/>
      <c r="C36" s="102"/>
      <c r="D36" s="14"/>
      <c r="E36" s="116"/>
      <c r="F36" s="129"/>
      <c r="G36" s="106"/>
      <c r="H36" s="106"/>
      <c r="I36" s="118"/>
      <c r="J36" s="130"/>
      <c r="K36" s="120"/>
      <c r="L36" s="119"/>
      <c r="M36" s="120"/>
      <c r="N36" s="131">
        <f>IF(ISERROR(Assumptions!$C$20/(Assumptions!$C$20+Assumptions!$C$23)),"",Assumptions!$C$20/(Assumptions!$C$20+Assumptions!$C$23))</f>
        <v>0.5263157894736842</v>
      </c>
      <c r="O36" s="9"/>
      <c r="T36" s="79">
        <v>4</v>
      </c>
    </row>
    <row r="37" spans="2:20" ht="12.75">
      <c r="B37" s="7"/>
      <c r="C37" s="103"/>
      <c r="D37" s="14"/>
      <c r="E37" s="121"/>
      <c r="F37" s="132"/>
      <c r="G37" s="109"/>
      <c r="H37" s="109"/>
      <c r="I37" s="123"/>
      <c r="J37" s="133"/>
      <c r="K37" s="125"/>
      <c r="L37" s="124"/>
      <c r="M37" s="125"/>
      <c r="N37" s="134">
        <f>IF(ISERROR(Assumptions!$C$20/(Assumptions!$C$20+Assumptions!$C$23)),"",Assumptions!$C$20/(Assumptions!$C$20+Assumptions!$C$23))</f>
        <v>0.5263157894736842</v>
      </c>
      <c r="O37" s="9"/>
      <c r="T37" s="79">
        <v>5</v>
      </c>
    </row>
    <row r="38" spans="2:20" ht="6" customHeight="1">
      <c r="B38" s="16"/>
      <c r="C38" s="17"/>
      <c r="D38" s="17"/>
      <c r="E38" s="17"/>
      <c r="F38" s="17"/>
      <c r="G38" s="17"/>
      <c r="H38" s="17"/>
      <c r="I38" s="17"/>
      <c r="J38" s="17"/>
      <c r="K38" s="17"/>
      <c r="L38" s="17"/>
      <c r="M38" s="17"/>
      <c r="N38" s="17"/>
      <c r="O38" s="18"/>
      <c r="T38" s="79">
        <v>6</v>
      </c>
    </row>
    <row r="39" spans="2:20" ht="6" customHeight="1">
      <c r="B39" s="8"/>
      <c r="C39" s="8"/>
      <c r="D39" s="8"/>
      <c r="E39" s="8"/>
      <c r="F39" s="8"/>
      <c r="G39" s="8"/>
      <c r="H39" s="8"/>
      <c r="I39" s="8"/>
      <c r="J39" s="8"/>
      <c r="K39" s="8"/>
      <c r="L39" s="8"/>
      <c r="M39" s="8"/>
      <c r="N39" s="8"/>
      <c r="O39" s="8"/>
      <c r="T39" s="79">
        <v>7</v>
      </c>
    </row>
    <row r="40" spans="2:20" ht="15">
      <c r="B40" s="288" t="str">
        <f>"FINANCIAL ANALYSIS FOR "&amp;TEXT(Assumptions!D6,"0")</f>
        <v>FINANCIAL ANALYSIS FOR Status Quo</v>
      </c>
      <c r="C40" s="289"/>
      <c r="D40" s="289"/>
      <c r="E40" s="289"/>
      <c r="F40" s="289"/>
      <c r="G40" s="289"/>
      <c r="H40" s="289"/>
      <c r="I40" s="289"/>
      <c r="J40" s="289"/>
      <c r="K40" s="289"/>
      <c r="L40" s="289"/>
      <c r="M40" s="289"/>
      <c r="N40" s="289"/>
      <c r="O40" s="290"/>
      <c r="T40" s="79">
        <v>8</v>
      </c>
    </row>
    <row r="41" spans="2:20" ht="5.25" customHeight="1">
      <c r="B41" s="143"/>
      <c r="C41" s="143"/>
      <c r="D41" s="143"/>
      <c r="E41" s="144"/>
      <c r="F41" s="144"/>
      <c r="G41" s="144"/>
      <c r="H41" s="144"/>
      <c r="I41" s="144"/>
      <c r="J41" s="144"/>
      <c r="K41" s="143"/>
      <c r="L41" s="143"/>
      <c r="M41" s="143"/>
      <c r="N41" s="143"/>
      <c r="O41" s="143"/>
      <c r="T41" s="79">
        <v>9</v>
      </c>
    </row>
    <row r="42" spans="2:20" ht="12.75">
      <c r="B42" s="145" t="str">
        <f>B4</f>
        <v>$000</v>
      </c>
      <c r="C42" s="146" t="s">
        <v>162</v>
      </c>
      <c r="D42" s="147"/>
      <c r="E42" s="148">
        <f aca="true" t="shared" si="0" ref="E42:J42">E5</f>
        <v>2010</v>
      </c>
      <c r="F42" s="148">
        <f t="shared" si="0"/>
        <v>2011</v>
      </c>
      <c r="G42" s="148">
        <f t="shared" si="0"/>
        <v>2012</v>
      </c>
      <c r="H42" s="148">
        <f t="shared" si="0"/>
        <v>2013</v>
      </c>
      <c r="I42" s="148">
        <f t="shared" si="0"/>
        <v>2014</v>
      </c>
      <c r="J42" s="148">
        <f t="shared" si="0"/>
        <v>2015</v>
      </c>
      <c r="K42" s="149" t="s">
        <v>6</v>
      </c>
      <c r="L42" s="143"/>
      <c r="M42" s="143"/>
      <c r="N42" s="143"/>
      <c r="O42" s="143"/>
      <c r="T42" s="79">
        <v>10</v>
      </c>
    </row>
    <row r="43" spans="2:15" ht="7.5" customHeight="1">
      <c r="B43" s="150"/>
      <c r="C43" s="151"/>
      <c r="D43" s="151"/>
      <c r="E43" s="151"/>
      <c r="F43" s="151"/>
      <c r="G43" s="151"/>
      <c r="H43" s="151"/>
      <c r="I43" s="151"/>
      <c r="J43" s="151"/>
      <c r="K43" s="152"/>
      <c r="L43" s="143"/>
      <c r="M43" s="143"/>
      <c r="N43" s="143"/>
      <c r="O43" s="143"/>
    </row>
    <row r="44" spans="2:15" ht="12.75">
      <c r="B44" s="150"/>
      <c r="C44" s="151" t="s">
        <v>138</v>
      </c>
      <c r="D44" s="151"/>
      <c r="E44" s="153">
        <f aca="true" t="shared" si="1" ref="E44:J44">SUM(E7:E8)+SUM(E11:E12)</f>
        <v>0</v>
      </c>
      <c r="F44" s="153">
        <f t="shared" si="1"/>
        <v>0</v>
      </c>
      <c r="G44" s="153">
        <f t="shared" si="1"/>
        <v>0</v>
      </c>
      <c r="H44" s="153">
        <f t="shared" si="1"/>
        <v>0</v>
      </c>
      <c r="I44" s="153">
        <f t="shared" si="1"/>
        <v>0</v>
      </c>
      <c r="J44" s="153">
        <f t="shared" si="1"/>
        <v>0</v>
      </c>
      <c r="K44" s="154">
        <f>SUM(E44:J44)</f>
        <v>0</v>
      </c>
      <c r="L44" s="155"/>
      <c r="M44" s="143"/>
      <c r="N44" s="143"/>
      <c r="O44" s="143"/>
    </row>
    <row r="45" spans="2:15" ht="12.75">
      <c r="B45" s="156" t="s">
        <v>139</v>
      </c>
      <c r="C45" s="151" t="s">
        <v>140</v>
      </c>
      <c r="D45" s="151"/>
      <c r="E45" s="157">
        <f aca="true" t="shared" si="2" ref="E45:J45">-(SUM(E15:E16)+SUM(E19:E21))</f>
        <v>0</v>
      </c>
      <c r="F45" s="157">
        <f t="shared" si="2"/>
        <v>0</v>
      </c>
      <c r="G45" s="157">
        <f t="shared" si="2"/>
        <v>0</v>
      </c>
      <c r="H45" s="157">
        <f t="shared" si="2"/>
        <v>0</v>
      </c>
      <c r="I45" s="157">
        <f t="shared" si="2"/>
        <v>0</v>
      </c>
      <c r="J45" s="157">
        <f t="shared" si="2"/>
        <v>0</v>
      </c>
      <c r="K45" s="158">
        <f>SUM(E45:J45)</f>
        <v>0</v>
      </c>
      <c r="L45" s="155"/>
      <c r="M45" s="143"/>
      <c r="N45" s="143"/>
      <c r="O45" s="143"/>
    </row>
    <row r="46" spans="2:15" ht="12.75">
      <c r="B46" s="156"/>
      <c r="C46" s="151" t="s">
        <v>141</v>
      </c>
      <c r="D46" s="151"/>
      <c r="E46" s="153">
        <f aca="true" t="shared" si="3" ref="E46:J46">SUM(E44:E45)</f>
        <v>0</v>
      </c>
      <c r="F46" s="153">
        <f t="shared" si="3"/>
        <v>0</v>
      </c>
      <c r="G46" s="153">
        <f t="shared" si="3"/>
        <v>0</v>
      </c>
      <c r="H46" s="153">
        <f t="shared" si="3"/>
        <v>0</v>
      </c>
      <c r="I46" s="153">
        <f t="shared" si="3"/>
        <v>0</v>
      </c>
      <c r="J46" s="153">
        <f t="shared" si="3"/>
        <v>0</v>
      </c>
      <c r="K46" s="154">
        <f>SUM(E46:J46)</f>
        <v>0</v>
      </c>
      <c r="L46" s="155"/>
      <c r="M46" s="143"/>
      <c r="N46" s="143"/>
      <c r="O46" s="143"/>
    </row>
    <row r="47" spans="2:15" ht="4.5" customHeight="1">
      <c r="B47" s="156"/>
      <c r="C47" s="151"/>
      <c r="D47" s="151"/>
      <c r="E47" s="153"/>
      <c r="F47" s="153"/>
      <c r="G47" s="153"/>
      <c r="H47" s="153"/>
      <c r="I47" s="153"/>
      <c r="J47" s="153"/>
      <c r="K47" s="154"/>
      <c r="L47" s="155"/>
      <c r="M47" s="143"/>
      <c r="N47" s="143"/>
      <c r="O47" s="143"/>
    </row>
    <row r="48" spans="2:15" ht="12.75">
      <c r="B48" s="156" t="s">
        <v>139</v>
      </c>
      <c r="C48" s="151" t="s">
        <v>142</v>
      </c>
      <c r="D48" s="151"/>
      <c r="E48" s="153">
        <f aca="true" t="shared" si="4" ref="E48:J48">-E113</f>
        <v>0</v>
      </c>
      <c r="F48" s="153">
        <f t="shared" si="4"/>
        <v>0</v>
      </c>
      <c r="G48" s="153">
        <f t="shared" si="4"/>
        <v>0</v>
      </c>
      <c r="H48" s="153">
        <f t="shared" si="4"/>
        <v>0</v>
      </c>
      <c r="I48" s="153">
        <f t="shared" si="4"/>
        <v>0</v>
      </c>
      <c r="J48" s="153">
        <f t="shared" si="4"/>
        <v>0</v>
      </c>
      <c r="K48" s="154">
        <f>SUM(E48:J48)</f>
        <v>0</v>
      </c>
      <c r="L48" s="155"/>
      <c r="M48" s="143"/>
      <c r="N48" s="143"/>
      <c r="O48" s="143"/>
    </row>
    <row r="49" spans="2:15" ht="12.75">
      <c r="B49" s="156" t="s">
        <v>139</v>
      </c>
      <c r="C49" s="151" t="s">
        <v>143</v>
      </c>
      <c r="D49" s="151"/>
      <c r="E49" s="157">
        <f aca="true" t="shared" si="5" ref="E49:J49">-E202</f>
        <v>0</v>
      </c>
      <c r="F49" s="157">
        <f t="shared" si="5"/>
        <v>0</v>
      </c>
      <c r="G49" s="157">
        <f t="shared" si="5"/>
        <v>0</v>
      </c>
      <c r="H49" s="157">
        <f t="shared" si="5"/>
        <v>0</v>
      </c>
      <c r="I49" s="157">
        <f t="shared" si="5"/>
        <v>0</v>
      </c>
      <c r="J49" s="157">
        <f t="shared" si="5"/>
        <v>0</v>
      </c>
      <c r="K49" s="158">
        <f>SUM(E49:J49)</f>
        <v>0</v>
      </c>
      <c r="L49" s="155"/>
      <c r="M49" s="143"/>
      <c r="N49" s="143"/>
      <c r="O49" s="143"/>
    </row>
    <row r="50" spans="2:15" ht="12.75">
      <c r="B50" s="156"/>
      <c r="C50" s="151" t="s">
        <v>144</v>
      </c>
      <c r="D50" s="151"/>
      <c r="E50" s="153">
        <f aca="true" t="shared" si="6" ref="E50:J50">E46+SUM(E48:E49)</f>
        <v>0</v>
      </c>
      <c r="F50" s="153">
        <f t="shared" si="6"/>
        <v>0</v>
      </c>
      <c r="G50" s="153">
        <f t="shared" si="6"/>
        <v>0</v>
      </c>
      <c r="H50" s="153">
        <f t="shared" si="6"/>
        <v>0</v>
      </c>
      <c r="I50" s="153">
        <f t="shared" si="6"/>
        <v>0</v>
      </c>
      <c r="J50" s="153">
        <f t="shared" si="6"/>
        <v>0</v>
      </c>
      <c r="K50" s="154">
        <f>SUM(E50:J50)</f>
        <v>0</v>
      </c>
      <c r="L50" s="155"/>
      <c r="M50" s="143"/>
      <c r="N50" s="143"/>
      <c r="O50" s="143"/>
    </row>
    <row r="51" spans="2:15" ht="4.5" customHeight="1">
      <c r="B51" s="156"/>
      <c r="C51" s="159"/>
      <c r="D51" s="151"/>
      <c r="E51" s="160"/>
      <c r="F51" s="160"/>
      <c r="G51" s="160"/>
      <c r="H51" s="160"/>
      <c r="I51" s="160"/>
      <c r="J51" s="160"/>
      <c r="K51" s="161"/>
      <c r="L51" s="155"/>
      <c r="M51" s="143"/>
      <c r="N51" s="143"/>
      <c r="O51" s="143"/>
    </row>
    <row r="52" spans="2:15" ht="12" customHeight="1">
      <c r="B52" s="156" t="s">
        <v>139</v>
      </c>
      <c r="C52" s="162" t="s">
        <v>136</v>
      </c>
      <c r="D52" s="151"/>
      <c r="E52" s="153">
        <f aca="true" t="shared" si="7" ref="E52:J52">-E266</f>
        <v>0</v>
      </c>
      <c r="F52" s="153">
        <f t="shared" si="7"/>
        <v>0</v>
      </c>
      <c r="G52" s="153">
        <f t="shared" si="7"/>
        <v>0</v>
      </c>
      <c r="H52" s="153">
        <f t="shared" si="7"/>
        <v>0</v>
      </c>
      <c r="I52" s="153">
        <f t="shared" si="7"/>
        <v>0</v>
      </c>
      <c r="J52" s="153">
        <f t="shared" si="7"/>
        <v>0</v>
      </c>
      <c r="K52" s="154">
        <f>SUM(E52:J52)</f>
        <v>0</v>
      </c>
      <c r="L52" s="155"/>
      <c r="M52" s="143"/>
      <c r="N52" s="143"/>
      <c r="O52" s="143"/>
    </row>
    <row r="53" spans="2:15" ht="12.75">
      <c r="B53" s="156" t="s">
        <v>139</v>
      </c>
      <c r="C53" s="162" t="s">
        <v>82</v>
      </c>
      <c r="D53" s="151"/>
      <c r="E53" s="157">
        <f aca="true" t="shared" si="8" ref="E53:J53">E285</f>
        <v>0</v>
      </c>
      <c r="F53" s="157">
        <f t="shared" si="8"/>
        <v>0</v>
      </c>
      <c r="G53" s="157">
        <f t="shared" si="8"/>
        <v>0</v>
      </c>
      <c r="H53" s="157">
        <f t="shared" si="8"/>
        <v>0</v>
      </c>
      <c r="I53" s="157">
        <f t="shared" si="8"/>
        <v>0</v>
      </c>
      <c r="J53" s="157">
        <f t="shared" si="8"/>
        <v>0</v>
      </c>
      <c r="K53" s="158">
        <f>SUM(E53:J53)</f>
        <v>0</v>
      </c>
      <c r="L53" s="155"/>
      <c r="M53" s="143"/>
      <c r="N53" s="143"/>
      <c r="O53" s="143"/>
    </row>
    <row r="54" spans="2:15" ht="12.75">
      <c r="B54" s="156"/>
      <c r="C54" s="162" t="s">
        <v>145</v>
      </c>
      <c r="D54" s="151"/>
      <c r="E54" s="153">
        <f aca="true" t="shared" si="9" ref="E54:J54">E50+SUM(E52:E53)</f>
        <v>0</v>
      </c>
      <c r="F54" s="153">
        <f t="shared" si="9"/>
        <v>0</v>
      </c>
      <c r="G54" s="153">
        <f t="shared" si="9"/>
        <v>0</v>
      </c>
      <c r="H54" s="153">
        <f t="shared" si="9"/>
        <v>0</v>
      </c>
      <c r="I54" s="153">
        <f t="shared" si="9"/>
        <v>0</v>
      </c>
      <c r="J54" s="153">
        <f t="shared" si="9"/>
        <v>0</v>
      </c>
      <c r="K54" s="154">
        <f>SUM(E54:J54)</f>
        <v>0</v>
      </c>
      <c r="L54" s="155"/>
      <c r="M54" s="143"/>
      <c r="N54" s="143"/>
      <c r="O54" s="143"/>
    </row>
    <row r="55" spans="2:15" ht="5.25" customHeight="1">
      <c r="B55" s="156"/>
      <c r="C55" s="163"/>
      <c r="D55" s="151"/>
      <c r="E55" s="164"/>
      <c r="F55" s="164"/>
      <c r="G55" s="164"/>
      <c r="H55" s="164"/>
      <c r="I55" s="164"/>
      <c r="J55" s="164"/>
      <c r="K55" s="165"/>
      <c r="L55" s="155"/>
      <c r="M55" s="143"/>
      <c r="N55" s="143"/>
      <c r="O55" s="143"/>
    </row>
    <row r="56" spans="2:15" ht="12.75" customHeight="1">
      <c r="B56" s="156" t="s">
        <v>146</v>
      </c>
      <c r="C56" s="162" t="s">
        <v>147</v>
      </c>
      <c r="D56" s="151"/>
      <c r="E56" s="153">
        <f aca="true" t="shared" si="10" ref="E56:J56">E183</f>
        <v>0</v>
      </c>
      <c r="F56" s="153">
        <f t="shared" si="10"/>
        <v>0</v>
      </c>
      <c r="G56" s="153">
        <f t="shared" si="10"/>
        <v>0</v>
      </c>
      <c r="H56" s="153">
        <f t="shared" si="10"/>
        <v>0</v>
      </c>
      <c r="I56" s="153">
        <f t="shared" si="10"/>
        <v>0</v>
      </c>
      <c r="J56" s="153">
        <f t="shared" si="10"/>
        <v>0</v>
      </c>
      <c r="K56" s="154">
        <f>SUM(E56:J56)</f>
        <v>0</v>
      </c>
      <c r="L56" s="155"/>
      <c r="M56" s="143"/>
      <c r="N56" s="143"/>
      <c r="O56" s="143"/>
    </row>
    <row r="57" spans="2:15" ht="13.5" thickBot="1">
      <c r="B57" s="156"/>
      <c r="C57" s="163" t="s">
        <v>148</v>
      </c>
      <c r="D57" s="163"/>
      <c r="E57" s="166">
        <f aca="true" t="shared" si="11" ref="E57:J57">E54+E56</f>
        <v>0</v>
      </c>
      <c r="F57" s="166">
        <f t="shared" si="11"/>
        <v>0</v>
      </c>
      <c r="G57" s="166">
        <f t="shared" si="11"/>
        <v>0</v>
      </c>
      <c r="H57" s="166">
        <f t="shared" si="11"/>
        <v>0</v>
      </c>
      <c r="I57" s="166">
        <f t="shared" si="11"/>
        <v>0</v>
      </c>
      <c r="J57" s="166">
        <f t="shared" si="11"/>
        <v>0</v>
      </c>
      <c r="K57" s="167">
        <f>SUM(E57:J57)</f>
        <v>0</v>
      </c>
      <c r="L57" s="155"/>
      <c r="M57" s="143"/>
      <c r="N57" s="143"/>
      <c r="O57" s="143"/>
    </row>
    <row r="58" spans="2:15" ht="4.5" customHeight="1">
      <c r="B58" s="168"/>
      <c r="C58" s="169"/>
      <c r="D58" s="169"/>
      <c r="E58" s="170"/>
      <c r="F58" s="170"/>
      <c r="G58" s="170"/>
      <c r="H58" s="170"/>
      <c r="I58" s="170"/>
      <c r="J58" s="170"/>
      <c r="K58" s="171"/>
      <c r="L58" s="155"/>
      <c r="M58" s="143"/>
      <c r="N58" s="143"/>
      <c r="O58" s="143"/>
    </row>
    <row r="59" spans="2:15" ht="7.5" customHeight="1">
      <c r="B59" s="172"/>
      <c r="C59" s="143"/>
      <c r="D59" s="143"/>
      <c r="E59" s="155"/>
      <c r="F59" s="155"/>
      <c r="G59" s="155"/>
      <c r="H59" s="155"/>
      <c r="I59" s="155"/>
      <c r="J59" s="155"/>
      <c r="K59" s="155"/>
      <c r="L59" s="155"/>
      <c r="M59" s="143"/>
      <c r="N59" s="143"/>
      <c r="O59" s="143"/>
    </row>
    <row r="60" spans="2:15" ht="12.75">
      <c r="B60" s="173" t="str">
        <f>B4</f>
        <v>$000</v>
      </c>
      <c r="C60" s="146" t="s">
        <v>78</v>
      </c>
      <c r="D60" s="147"/>
      <c r="E60" s="148">
        <f aca="true" t="shared" si="12" ref="E60:J60">E5</f>
        <v>2010</v>
      </c>
      <c r="F60" s="148">
        <f t="shared" si="12"/>
        <v>2011</v>
      </c>
      <c r="G60" s="148">
        <f t="shared" si="12"/>
        <v>2012</v>
      </c>
      <c r="H60" s="148">
        <f t="shared" si="12"/>
        <v>2013</v>
      </c>
      <c r="I60" s="148">
        <f t="shared" si="12"/>
        <v>2014</v>
      </c>
      <c r="J60" s="148">
        <f t="shared" si="12"/>
        <v>2015</v>
      </c>
      <c r="K60" s="174" t="s">
        <v>6</v>
      </c>
      <c r="L60" s="175" t="s">
        <v>156</v>
      </c>
      <c r="M60" s="147"/>
      <c r="N60" s="147"/>
      <c r="O60" s="176"/>
    </row>
    <row r="61" spans="2:15" ht="4.5" customHeight="1">
      <c r="B61" s="156"/>
      <c r="C61" s="151"/>
      <c r="D61" s="151"/>
      <c r="E61" s="153"/>
      <c r="F61" s="153"/>
      <c r="G61" s="153"/>
      <c r="H61" s="153"/>
      <c r="I61" s="153"/>
      <c r="J61" s="153"/>
      <c r="K61" s="177"/>
      <c r="L61" s="153"/>
      <c r="M61" s="151"/>
      <c r="N61" s="151"/>
      <c r="O61" s="178"/>
    </row>
    <row r="62" spans="2:15" ht="12.75">
      <c r="B62" s="156"/>
      <c r="C62" s="151" t="s">
        <v>7</v>
      </c>
      <c r="D62" s="151"/>
      <c r="E62" s="153">
        <f aca="true" t="shared" si="13" ref="E62:J62">SUM(E7:E8)</f>
        <v>0</v>
      </c>
      <c r="F62" s="153">
        <f t="shared" si="13"/>
        <v>0</v>
      </c>
      <c r="G62" s="153">
        <f t="shared" si="13"/>
        <v>0</v>
      </c>
      <c r="H62" s="153">
        <f t="shared" si="13"/>
        <v>0</v>
      </c>
      <c r="I62" s="153">
        <f t="shared" si="13"/>
        <v>0</v>
      </c>
      <c r="J62" s="153">
        <f t="shared" si="13"/>
        <v>0</v>
      </c>
      <c r="K62" s="177">
        <f>SUM(E62:J62)</f>
        <v>0</v>
      </c>
      <c r="L62" s="153"/>
      <c r="M62" s="151"/>
      <c r="N62" s="151"/>
      <c r="O62" s="178"/>
    </row>
    <row r="63" spans="2:15" ht="12.75">
      <c r="B63" s="156" t="s">
        <v>139</v>
      </c>
      <c r="C63" s="151" t="s">
        <v>17</v>
      </c>
      <c r="D63" s="151"/>
      <c r="E63" s="153">
        <f aca="true" t="shared" si="14" ref="E63:J63">-(SUM(E15:E16)+SUM(E19:E21))</f>
        <v>0</v>
      </c>
      <c r="F63" s="153">
        <f t="shared" si="14"/>
        <v>0</v>
      </c>
      <c r="G63" s="153">
        <f t="shared" si="14"/>
        <v>0</v>
      </c>
      <c r="H63" s="153">
        <f t="shared" si="14"/>
        <v>0</v>
      </c>
      <c r="I63" s="153">
        <f t="shared" si="14"/>
        <v>0</v>
      </c>
      <c r="J63" s="153">
        <f t="shared" si="14"/>
        <v>0</v>
      </c>
      <c r="K63" s="177">
        <f>SUM(E63:J63)</f>
        <v>0</v>
      </c>
      <c r="L63" s="153"/>
      <c r="M63" s="151"/>
      <c r="N63" s="151"/>
      <c r="O63" s="178"/>
    </row>
    <row r="64" spans="2:15" ht="12.75">
      <c r="B64" s="156" t="s">
        <v>139</v>
      </c>
      <c r="C64" s="151" t="s">
        <v>82</v>
      </c>
      <c r="D64" s="151"/>
      <c r="E64" s="153">
        <f aca="true" t="shared" si="15" ref="E64:J64">E285</f>
        <v>0</v>
      </c>
      <c r="F64" s="153">
        <f t="shared" si="15"/>
        <v>0</v>
      </c>
      <c r="G64" s="153">
        <f t="shared" si="15"/>
        <v>0</v>
      </c>
      <c r="H64" s="153">
        <f t="shared" si="15"/>
        <v>0</v>
      </c>
      <c r="I64" s="153">
        <f t="shared" si="15"/>
        <v>0</v>
      </c>
      <c r="J64" s="153">
        <f t="shared" si="15"/>
        <v>0</v>
      </c>
      <c r="K64" s="177">
        <f>SUM(E64:J64)</f>
        <v>0</v>
      </c>
      <c r="L64" s="151"/>
      <c r="M64" s="153">
        <f>K285</f>
        <v>0</v>
      </c>
      <c r="N64" s="151"/>
      <c r="O64" s="178"/>
    </row>
    <row r="65" spans="2:15" ht="12.75">
      <c r="B65" s="156" t="s">
        <v>139</v>
      </c>
      <c r="C65" s="151" t="s">
        <v>136</v>
      </c>
      <c r="D65" s="151"/>
      <c r="E65" s="157">
        <f aca="true" t="shared" si="16" ref="E65:J65">-E266</f>
        <v>0</v>
      </c>
      <c r="F65" s="157">
        <f t="shared" si="16"/>
        <v>0</v>
      </c>
      <c r="G65" s="157">
        <f t="shared" si="16"/>
        <v>0</v>
      </c>
      <c r="H65" s="157">
        <f t="shared" si="16"/>
        <v>0</v>
      </c>
      <c r="I65" s="157">
        <f t="shared" si="16"/>
        <v>0</v>
      </c>
      <c r="J65" s="157">
        <f t="shared" si="16"/>
        <v>0</v>
      </c>
      <c r="K65" s="179">
        <f>SUM(E65:J65)</f>
        <v>0</v>
      </c>
      <c r="L65" s="151"/>
      <c r="M65" s="157">
        <f>-K266</f>
        <v>0</v>
      </c>
      <c r="N65" s="151"/>
      <c r="O65" s="178"/>
    </row>
    <row r="66" spans="2:15" ht="12.75">
      <c r="B66" s="156"/>
      <c r="C66" s="151" t="s">
        <v>79</v>
      </c>
      <c r="D66" s="151"/>
      <c r="E66" s="153">
        <f aca="true" t="shared" si="17" ref="E66:J66">SUM(E62:E65)</f>
        <v>0</v>
      </c>
      <c r="F66" s="153">
        <f t="shared" si="17"/>
        <v>0</v>
      </c>
      <c r="G66" s="153">
        <f t="shared" si="17"/>
        <v>0</v>
      </c>
      <c r="H66" s="153">
        <f t="shared" si="17"/>
        <v>0</v>
      </c>
      <c r="I66" s="153">
        <f t="shared" si="17"/>
        <v>0</v>
      </c>
      <c r="J66" s="153">
        <f t="shared" si="17"/>
        <v>0</v>
      </c>
      <c r="K66" s="177">
        <f>SUM(E66:J66)</f>
        <v>0</v>
      </c>
      <c r="L66" s="151"/>
      <c r="M66" s="153">
        <f>SUM(M62:M65)</f>
        <v>0</v>
      </c>
      <c r="N66" s="151"/>
      <c r="O66" s="178"/>
    </row>
    <row r="67" spans="2:15" ht="4.5" customHeight="1">
      <c r="B67" s="156"/>
      <c r="C67" s="151"/>
      <c r="D67" s="151"/>
      <c r="E67" s="153"/>
      <c r="F67" s="153"/>
      <c r="G67" s="153"/>
      <c r="H67" s="153"/>
      <c r="I67" s="153"/>
      <c r="J67" s="153"/>
      <c r="K67" s="177"/>
      <c r="L67" s="151"/>
      <c r="M67" s="153"/>
      <c r="N67" s="151"/>
      <c r="O67" s="178"/>
    </row>
    <row r="68" spans="2:15" ht="12.75">
      <c r="B68" s="156" t="s">
        <v>146</v>
      </c>
      <c r="C68" s="151" t="s">
        <v>149</v>
      </c>
      <c r="D68" s="151"/>
      <c r="E68" s="153">
        <f aca="true" t="shared" si="18" ref="E68:J68">SUM(E11:E12)</f>
        <v>0</v>
      </c>
      <c r="F68" s="153">
        <f t="shared" si="18"/>
        <v>0</v>
      </c>
      <c r="G68" s="153">
        <f t="shared" si="18"/>
        <v>0</v>
      </c>
      <c r="H68" s="153">
        <f t="shared" si="18"/>
        <v>0</v>
      </c>
      <c r="I68" s="153">
        <f t="shared" si="18"/>
        <v>0</v>
      </c>
      <c r="J68" s="153">
        <f t="shared" si="18"/>
        <v>0</v>
      </c>
      <c r="K68" s="177">
        <f>SUM(E68:J68)</f>
        <v>0</v>
      </c>
      <c r="L68" s="151"/>
      <c r="M68" s="153"/>
      <c r="N68" s="151"/>
      <c r="O68" s="178"/>
    </row>
    <row r="69" spans="2:15" ht="12.75">
      <c r="B69" s="156" t="s">
        <v>139</v>
      </c>
      <c r="C69" s="151" t="s">
        <v>9</v>
      </c>
      <c r="D69" s="151"/>
      <c r="E69" s="153">
        <f aca="true" t="shared" si="19" ref="E69:J69">-E226</f>
        <v>0</v>
      </c>
      <c r="F69" s="153">
        <f t="shared" si="19"/>
        <v>0</v>
      </c>
      <c r="G69" s="153">
        <f t="shared" si="19"/>
        <v>0</v>
      </c>
      <c r="H69" s="153">
        <f t="shared" si="19"/>
        <v>0</v>
      </c>
      <c r="I69" s="153">
        <f t="shared" si="19"/>
        <v>0</v>
      </c>
      <c r="J69" s="153">
        <f t="shared" si="19"/>
        <v>0</v>
      </c>
      <c r="K69" s="177">
        <f>SUM(E69:J69)</f>
        <v>0</v>
      </c>
      <c r="L69" s="151"/>
      <c r="M69" s="153"/>
      <c r="N69" s="151"/>
      <c r="O69" s="178"/>
    </row>
    <row r="70" spans="2:15" ht="12.75">
      <c r="B70" s="156" t="s">
        <v>146</v>
      </c>
      <c r="C70" s="151" t="s">
        <v>80</v>
      </c>
      <c r="D70" s="151"/>
      <c r="E70" s="157">
        <f aca="true" t="shared" si="20" ref="E70:J70">E149</f>
        <v>0</v>
      </c>
      <c r="F70" s="157">
        <f t="shared" si="20"/>
        <v>0</v>
      </c>
      <c r="G70" s="157">
        <f t="shared" si="20"/>
        <v>0</v>
      </c>
      <c r="H70" s="157">
        <f t="shared" si="20"/>
        <v>0</v>
      </c>
      <c r="I70" s="157">
        <f t="shared" si="20"/>
        <v>0</v>
      </c>
      <c r="J70" s="157">
        <f t="shared" si="20"/>
        <v>0</v>
      </c>
      <c r="K70" s="179">
        <f>SUM(E70:J70)</f>
        <v>0</v>
      </c>
      <c r="L70" s="151"/>
      <c r="M70" s="153">
        <f>K149</f>
        <v>0</v>
      </c>
      <c r="N70" s="151"/>
      <c r="O70" s="178"/>
    </row>
    <row r="71" spans="2:15" ht="13.5" thickBot="1">
      <c r="B71" s="156"/>
      <c r="C71" s="163" t="s">
        <v>81</v>
      </c>
      <c r="D71" s="151"/>
      <c r="E71" s="166">
        <f aca="true" t="shared" si="21" ref="E71:J71">E66+SUM(E68:E70)</f>
        <v>0</v>
      </c>
      <c r="F71" s="166">
        <f t="shared" si="21"/>
        <v>0</v>
      </c>
      <c r="G71" s="166">
        <f t="shared" si="21"/>
        <v>0</v>
      </c>
      <c r="H71" s="166">
        <f t="shared" si="21"/>
        <v>0</v>
      </c>
      <c r="I71" s="166">
        <f t="shared" si="21"/>
        <v>0</v>
      </c>
      <c r="J71" s="166">
        <f t="shared" si="21"/>
        <v>0</v>
      </c>
      <c r="K71" s="180">
        <f>SUM(E71:J71)</f>
        <v>0</v>
      </c>
      <c r="L71" s="151"/>
      <c r="M71" s="166">
        <f>M66+SUM(M68:M70)</f>
        <v>0</v>
      </c>
      <c r="N71" s="151"/>
      <c r="O71" s="178"/>
    </row>
    <row r="72" spans="2:15" ht="5.25" customHeight="1">
      <c r="B72" s="156"/>
      <c r="C72" s="151"/>
      <c r="D72" s="151"/>
      <c r="E72" s="153"/>
      <c r="F72" s="153"/>
      <c r="G72" s="153"/>
      <c r="H72" s="153"/>
      <c r="I72" s="153"/>
      <c r="J72" s="153"/>
      <c r="K72" s="153"/>
      <c r="L72" s="153"/>
      <c r="M72" s="151"/>
      <c r="N72" s="151"/>
      <c r="O72" s="178"/>
    </row>
    <row r="73" spans="2:15" ht="12.75">
      <c r="B73" s="156"/>
      <c r="C73" s="163" t="s">
        <v>160</v>
      </c>
      <c r="D73" s="151"/>
      <c r="E73" s="181">
        <f>SUMPRODUCT(F71:J71,F273:J273)+E71</f>
        <v>0</v>
      </c>
      <c r="F73" s="153"/>
      <c r="G73" s="153"/>
      <c r="H73" s="153"/>
      <c r="I73" s="153"/>
      <c r="J73" s="153"/>
      <c r="K73" s="153"/>
      <c r="L73" s="153"/>
      <c r="M73" s="151"/>
      <c r="N73" s="151"/>
      <c r="O73" s="178"/>
    </row>
    <row r="74" spans="2:15" ht="5.25" customHeight="1">
      <c r="B74" s="156"/>
      <c r="C74" s="163"/>
      <c r="D74" s="151"/>
      <c r="E74" s="182"/>
      <c r="F74" s="153"/>
      <c r="G74" s="153"/>
      <c r="H74" s="153"/>
      <c r="I74" s="153"/>
      <c r="J74" s="153"/>
      <c r="K74" s="153"/>
      <c r="L74" s="153"/>
      <c r="M74" s="151"/>
      <c r="N74" s="151"/>
      <c r="O74" s="178"/>
    </row>
    <row r="75" spans="2:15" ht="12.75">
      <c r="B75" s="156"/>
      <c r="C75" s="163" t="s">
        <v>161</v>
      </c>
      <c r="D75" s="151"/>
      <c r="E75" s="181">
        <f>E73+(M71*K273)</f>
        <v>0</v>
      </c>
      <c r="F75" s="153"/>
      <c r="G75" s="153"/>
      <c r="H75" s="153"/>
      <c r="I75" s="153"/>
      <c r="J75" s="153"/>
      <c r="K75" s="153"/>
      <c r="L75" s="153"/>
      <c r="M75" s="151"/>
      <c r="N75" s="151"/>
      <c r="O75" s="178"/>
    </row>
    <row r="76" spans="2:15" ht="5.25" customHeight="1">
      <c r="B76" s="168"/>
      <c r="C76" s="169"/>
      <c r="D76" s="183"/>
      <c r="E76" s="170"/>
      <c r="F76" s="184"/>
      <c r="G76" s="184"/>
      <c r="H76" s="184"/>
      <c r="I76" s="184"/>
      <c r="J76" s="184"/>
      <c r="K76" s="184"/>
      <c r="L76" s="184"/>
      <c r="M76" s="183"/>
      <c r="N76" s="183"/>
      <c r="O76" s="185"/>
    </row>
    <row r="77" spans="2:15" ht="6.75" customHeight="1">
      <c r="B77" s="172"/>
      <c r="C77" s="143"/>
      <c r="D77" s="143"/>
      <c r="E77" s="182"/>
      <c r="F77" s="155"/>
      <c r="G77" s="155"/>
      <c r="H77" s="155"/>
      <c r="I77" s="155"/>
      <c r="J77" s="155"/>
      <c r="K77" s="155"/>
      <c r="L77" s="155"/>
      <c r="M77" s="143"/>
      <c r="N77" s="143"/>
      <c r="O77" s="151"/>
    </row>
    <row r="78" spans="2:15" ht="12.75">
      <c r="B78" s="173" t="str">
        <f>B4</f>
        <v>$000</v>
      </c>
      <c r="C78" s="146" t="s">
        <v>85</v>
      </c>
      <c r="D78" s="147"/>
      <c r="E78" s="148">
        <f aca="true" t="shared" si="22" ref="E78:J78">E5</f>
        <v>2010</v>
      </c>
      <c r="F78" s="148">
        <f t="shared" si="22"/>
        <v>2011</v>
      </c>
      <c r="G78" s="148">
        <f t="shared" si="22"/>
        <v>2012</v>
      </c>
      <c r="H78" s="148">
        <f t="shared" si="22"/>
        <v>2013</v>
      </c>
      <c r="I78" s="148">
        <f t="shared" si="22"/>
        <v>2014</v>
      </c>
      <c r="J78" s="148">
        <f t="shared" si="22"/>
        <v>2015</v>
      </c>
      <c r="K78" s="174" t="s">
        <v>6</v>
      </c>
      <c r="L78" s="175" t="s">
        <v>156</v>
      </c>
      <c r="M78" s="147"/>
      <c r="N78" s="147"/>
      <c r="O78" s="176"/>
    </row>
    <row r="79" spans="2:15" ht="4.5" customHeight="1">
      <c r="B79" s="156"/>
      <c r="C79" s="151"/>
      <c r="D79" s="151"/>
      <c r="E79" s="153"/>
      <c r="F79" s="153"/>
      <c r="G79" s="153"/>
      <c r="H79" s="153"/>
      <c r="I79" s="153"/>
      <c r="J79" s="153"/>
      <c r="K79" s="177"/>
      <c r="L79" s="153"/>
      <c r="M79" s="151"/>
      <c r="N79" s="151"/>
      <c r="O79" s="178"/>
    </row>
    <row r="80" spans="2:15" ht="12.75">
      <c r="B80" s="156"/>
      <c r="C80" s="151" t="s">
        <v>138</v>
      </c>
      <c r="D80" s="151"/>
      <c r="E80" s="153">
        <f aca="true" t="shared" si="23" ref="E80:J80">SUM(E7:E8)+SUM(E11:E12)</f>
        <v>0</v>
      </c>
      <c r="F80" s="153">
        <f t="shared" si="23"/>
        <v>0</v>
      </c>
      <c r="G80" s="153">
        <f t="shared" si="23"/>
        <v>0</v>
      </c>
      <c r="H80" s="153">
        <f t="shared" si="23"/>
        <v>0</v>
      </c>
      <c r="I80" s="153">
        <f t="shared" si="23"/>
        <v>0</v>
      </c>
      <c r="J80" s="153">
        <f t="shared" si="23"/>
        <v>0</v>
      </c>
      <c r="K80" s="177">
        <f aca="true" t="shared" si="24" ref="K80:K86">SUM(E80:J80)</f>
        <v>0</v>
      </c>
      <c r="L80" s="153"/>
      <c r="M80" s="151"/>
      <c r="N80" s="151"/>
      <c r="O80" s="178"/>
    </row>
    <row r="81" spans="2:15" ht="12.75">
      <c r="B81" s="156" t="s">
        <v>139</v>
      </c>
      <c r="C81" s="151" t="s">
        <v>17</v>
      </c>
      <c r="D81" s="151"/>
      <c r="E81" s="153">
        <f aca="true" t="shared" si="25" ref="E81:J81">-(SUM(E15:E16)+SUM(E19:E21))</f>
        <v>0</v>
      </c>
      <c r="F81" s="153">
        <f t="shared" si="25"/>
        <v>0</v>
      </c>
      <c r="G81" s="153">
        <f t="shared" si="25"/>
        <v>0</v>
      </c>
      <c r="H81" s="153">
        <f t="shared" si="25"/>
        <v>0</v>
      </c>
      <c r="I81" s="153">
        <f t="shared" si="25"/>
        <v>0</v>
      </c>
      <c r="J81" s="153">
        <f t="shared" si="25"/>
        <v>0</v>
      </c>
      <c r="K81" s="177">
        <f t="shared" si="24"/>
        <v>0</v>
      </c>
      <c r="L81" s="153"/>
      <c r="M81" s="151"/>
      <c r="N81" s="151"/>
      <c r="O81" s="178"/>
    </row>
    <row r="82" spans="2:15" ht="12.75">
      <c r="B82" s="156" t="s">
        <v>139</v>
      </c>
      <c r="C82" s="151" t="s">
        <v>82</v>
      </c>
      <c r="D82" s="151"/>
      <c r="E82" s="153">
        <f aca="true" t="shared" si="26" ref="E82:J82">E285</f>
        <v>0</v>
      </c>
      <c r="F82" s="153">
        <f t="shared" si="26"/>
        <v>0</v>
      </c>
      <c r="G82" s="153">
        <f t="shared" si="26"/>
        <v>0</v>
      </c>
      <c r="H82" s="153">
        <f t="shared" si="26"/>
        <v>0</v>
      </c>
      <c r="I82" s="153">
        <f t="shared" si="26"/>
        <v>0</v>
      </c>
      <c r="J82" s="153">
        <f t="shared" si="26"/>
        <v>0</v>
      </c>
      <c r="K82" s="177">
        <f t="shared" si="24"/>
        <v>0</v>
      </c>
      <c r="L82" s="151"/>
      <c r="M82" s="153">
        <f>K285</f>
        <v>0</v>
      </c>
      <c r="N82" s="151"/>
      <c r="O82" s="178"/>
    </row>
    <row r="83" spans="2:15" ht="12.75">
      <c r="B83" s="156" t="s">
        <v>139</v>
      </c>
      <c r="C83" s="151" t="s">
        <v>136</v>
      </c>
      <c r="D83" s="151"/>
      <c r="E83" s="153">
        <f aca="true" t="shared" si="27" ref="E83:J83">-E266</f>
        <v>0</v>
      </c>
      <c r="F83" s="153">
        <f t="shared" si="27"/>
        <v>0</v>
      </c>
      <c r="G83" s="153">
        <f t="shared" si="27"/>
        <v>0</v>
      </c>
      <c r="H83" s="153">
        <f t="shared" si="27"/>
        <v>0</v>
      </c>
      <c r="I83" s="153">
        <f t="shared" si="27"/>
        <v>0</v>
      </c>
      <c r="J83" s="153">
        <f t="shared" si="27"/>
        <v>0</v>
      </c>
      <c r="K83" s="177">
        <f t="shared" si="24"/>
        <v>0</v>
      </c>
      <c r="L83" s="151"/>
      <c r="M83" s="153">
        <f>-K266</f>
        <v>0</v>
      </c>
      <c r="N83" s="151"/>
      <c r="O83" s="178"/>
    </row>
    <row r="84" spans="2:15" ht="12.75">
      <c r="B84" s="156" t="s">
        <v>146</v>
      </c>
      <c r="C84" s="151" t="s">
        <v>80</v>
      </c>
      <c r="D84" s="151"/>
      <c r="E84" s="153">
        <f aca="true" t="shared" si="28" ref="E84:J84">E149</f>
        <v>0</v>
      </c>
      <c r="F84" s="153">
        <f t="shared" si="28"/>
        <v>0</v>
      </c>
      <c r="G84" s="153">
        <f t="shared" si="28"/>
        <v>0</v>
      </c>
      <c r="H84" s="153">
        <f t="shared" si="28"/>
        <v>0</v>
      </c>
      <c r="I84" s="153">
        <f t="shared" si="28"/>
        <v>0</v>
      </c>
      <c r="J84" s="153">
        <f t="shared" si="28"/>
        <v>0</v>
      </c>
      <c r="K84" s="177">
        <f t="shared" si="24"/>
        <v>0</v>
      </c>
      <c r="L84" s="151"/>
      <c r="M84" s="153">
        <f>K149</f>
        <v>0</v>
      </c>
      <c r="N84" s="151"/>
      <c r="O84" s="178"/>
    </row>
    <row r="85" spans="2:15" ht="12.75">
      <c r="B85" s="156" t="s">
        <v>146</v>
      </c>
      <c r="C85" s="151" t="s">
        <v>150</v>
      </c>
      <c r="D85" s="151"/>
      <c r="E85" s="157">
        <f aca="true" t="shared" si="29" ref="E85:J85">-E210</f>
        <v>0</v>
      </c>
      <c r="F85" s="157">
        <f t="shared" si="29"/>
        <v>0</v>
      </c>
      <c r="G85" s="157">
        <f t="shared" si="29"/>
        <v>0</v>
      </c>
      <c r="H85" s="157">
        <f t="shared" si="29"/>
        <v>0</v>
      </c>
      <c r="I85" s="157">
        <f t="shared" si="29"/>
        <v>0</v>
      </c>
      <c r="J85" s="157">
        <f t="shared" si="29"/>
        <v>0</v>
      </c>
      <c r="K85" s="179">
        <f t="shared" si="24"/>
        <v>0</v>
      </c>
      <c r="L85" s="151"/>
      <c r="M85" s="157">
        <f>-K210</f>
        <v>0</v>
      </c>
      <c r="N85" s="151"/>
      <c r="O85" s="178"/>
    </row>
    <row r="86" spans="2:15" ht="12.75">
      <c r="B86" s="156"/>
      <c r="C86" s="151" t="s">
        <v>151</v>
      </c>
      <c r="D86" s="151"/>
      <c r="E86" s="153">
        <f aca="true" t="shared" si="30" ref="E86:J86">SUM(E80:E85)</f>
        <v>0</v>
      </c>
      <c r="F86" s="153">
        <f t="shared" si="30"/>
        <v>0</v>
      </c>
      <c r="G86" s="153">
        <f t="shared" si="30"/>
        <v>0</v>
      </c>
      <c r="H86" s="153">
        <f t="shared" si="30"/>
        <v>0</v>
      </c>
      <c r="I86" s="153">
        <f t="shared" si="30"/>
        <v>0</v>
      </c>
      <c r="J86" s="153">
        <f t="shared" si="30"/>
        <v>0</v>
      </c>
      <c r="K86" s="177">
        <f t="shared" si="24"/>
        <v>0</v>
      </c>
      <c r="L86" s="151"/>
      <c r="M86" s="153">
        <f>SUM(M80:M85)</f>
        <v>0</v>
      </c>
      <c r="N86" s="151"/>
      <c r="O86" s="178"/>
    </row>
    <row r="87" spans="2:15" ht="5.25" customHeight="1">
      <c r="B87" s="156"/>
      <c r="C87" s="151"/>
      <c r="D87" s="151"/>
      <c r="E87" s="153"/>
      <c r="F87" s="153"/>
      <c r="G87" s="153"/>
      <c r="H87" s="153"/>
      <c r="I87" s="153"/>
      <c r="J87" s="153"/>
      <c r="K87" s="177"/>
      <c r="L87" s="151"/>
      <c r="M87" s="153"/>
      <c r="N87" s="151"/>
      <c r="O87" s="178"/>
    </row>
    <row r="88" spans="2:15" ht="12.75">
      <c r="B88" s="156"/>
      <c r="C88" s="151" t="s">
        <v>65</v>
      </c>
      <c r="D88" s="151"/>
      <c r="E88" s="186">
        <f aca="true" t="shared" si="31" ref="E88:J88">E247</f>
        <v>0</v>
      </c>
      <c r="F88" s="186">
        <f t="shared" si="31"/>
        <v>0</v>
      </c>
      <c r="G88" s="186">
        <f t="shared" si="31"/>
        <v>0</v>
      </c>
      <c r="H88" s="186">
        <f t="shared" si="31"/>
        <v>0</v>
      </c>
      <c r="I88" s="186">
        <f t="shared" si="31"/>
        <v>0</v>
      </c>
      <c r="J88" s="186">
        <f t="shared" si="31"/>
        <v>0</v>
      </c>
      <c r="K88" s="187">
        <f>SUM(E88:J88)</f>
        <v>0</v>
      </c>
      <c r="L88" s="151"/>
      <c r="M88" s="186">
        <f>K247</f>
        <v>0</v>
      </c>
      <c r="N88" s="151"/>
      <c r="O88" s="178"/>
    </row>
    <row r="89" spans="2:15" ht="12.75">
      <c r="B89" s="156" t="s">
        <v>139</v>
      </c>
      <c r="C89" s="151" t="s">
        <v>152</v>
      </c>
      <c r="D89" s="151"/>
      <c r="E89" s="157">
        <f aca="true" t="shared" si="32" ref="E89:J89">-E88*E271</f>
        <v>0</v>
      </c>
      <c r="F89" s="157">
        <f t="shared" si="32"/>
        <v>0</v>
      </c>
      <c r="G89" s="157">
        <f t="shared" si="32"/>
        <v>0</v>
      </c>
      <c r="H89" s="157">
        <f t="shared" si="32"/>
        <v>0</v>
      </c>
      <c r="I89" s="157">
        <f t="shared" si="32"/>
        <v>0</v>
      </c>
      <c r="J89" s="157">
        <f t="shared" si="32"/>
        <v>0</v>
      </c>
      <c r="K89" s="179">
        <f>SUM(E89:J89)</f>
        <v>0</v>
      </c>
      <c r="L89" s="151"/>
      <c r="M89" s="157">
        <f>-M88*K271</f>
        <v>0</v>
      </c>
      <c r="N89" s="151"/>
      <c r="O89" s="178"/>
    </row>
    <row r="90" spans="2:15" ht="13.5" thickBot="1">
      <c r="B90" s="156"/>
      <c r="C90" s="163" t="s">
        <v>153</v>
      </c>
      <c r="D90" s="151"/>
      <c r="E90" s="166">
        <f aca="true" t="shared" si="33" ref="E90:J90">E86+E89</f>
        <v>0</v>
      </c>
      <c r="F90" s="166">
        <f t="shared" si="33"/>
        <v>0</v>
      </c>
      <c r="G90" s="166">
        <f t="shared" si="33"/>
        <v>0</v>
      </c>
      <c r="H90" s="166">
        <f t="shared" si="33"/>
        <v>0</v>
      </c>
      <c r="I90" s="166">
        <f t="shared" si="33"/>
        <v>0</v>
      </c>
      <c r="J90" s="166">
        <f t="shared" si="33"/>
        <v>0</v>
      </c>
      <c r="K90" s="180">
        <f>SUM(E90:J90)</f>
        <v>0</v>
      </c>
      <c r="L90" s="151"/>
      <c r="M90" s="166">
        <f>M86+M89</f>
        <v>0</v>
      </c>
      <c r="N90" s="151"/>
      <c r="O90" s="178"/>
    </row>
    <row r="91" spans="2:15" ht="4.5" customHeight="1">
      <c r="B91" s="156"/>
      <c r="C91" s="163"/>
      <c r="D91" s="151"/>
      <c r="E91" s="182"/>
      <c r="F91" s="182"/>
      <c r="G91" s="182"/>
      <c r="H91" s="182"/>
      <c r="I91" s="182"/>
      <c r="J91" s="182"/>
      <c r="K91" s="153"/>
      <c r="L91" s="153"/>
      <c r="M91" s="151"/>
      <c r="N91" s="151"/>
      <c r="O91" s="178"/>
    </row>
    <row r="92" spans="2:15" ht="12.75">
      <c r="B92" s="156"/>
      <c r="C92" s="163" t="s">
        <v>154</v>
      </c>
      <c r="D92" s="151"/>
      <c r="E92" s="181">
        <f>SUMPRODUCT(F90:J90,F273:J273)+E90</f>
        <v>0</v>
      </c>
      <c r="F92" s="182"/>
      <c r="G92" s="182"/>
      <c r="H92" s="182"/>
      <c r="I92" s="182"/>
      <c r="J92" s="182"/>
      <c r="K92" s="153"/>
      <c r="L92" s="153"/>
      <c r="M92" s="151"/>
      <c r="N92" s="151"/>
      <c r="O92" s="178"/>
    </row>
    <row r="93" spans="2:15" ht="5.25" customHeight="1">
      <c r="B93" s="156"/>
      <c r="C93" s="163"/>
      <c r="D93" s="151"/>
      <c r="E93" s="182"/>
      <c r="F93" s="182"/>
      <c r="G93" s="182"/>
      <c r="H93" s="182"/>
      <c r="I93" s="182"/>
      <c r="J93" s="182"/>
      <c r="K93" s="153"/>
      <c r="L93" s="153"/>
      <c r="M93" s="151"/>
      <c r="N93" s="151"/>
      <c r="O93" s="178"/>
    </row>
    <row r="94" spans="2:15" ht="12.75">
      <c r="B94" s="156"/>
      <c r="C94" s="163" t="s">
        <v>155</v>
      </c>
      <c r="D94" s="151"/>
      <c r="E94" s="181">
        <f>E92+(M90*K273)</f>
        <v>0</v>
      </c>
      <c r="F94" s="182"/>
      <c r="G94" s="182"/>
      <c r="H94" s="182"/>
      <c r="I94" s="182"/>
      <c r="J94" s="182"/>
      <c r="K94" s="153"/>
      <c r="L94" s="153"/>
      <c r="M94" s="151"/>
      <c r="N94" s="151"/>
      <c r="O94" s="178"/>
    </row>
    <row r="95" spans="2:15" ht="5.25" customHeight="1">
      <c r="B95" s="168"/>
      <c r="C95" s="169"/>
      <c r="D95" s="183"/>
      <c r="E95" s="170"/>
      <c r="F95" s="170"/>
      <c r="G95" s="170"/>
      <c r="H95" s="170"/>
      <c r="I95" s="170"/>
      <c r="J95" s="170"/>
      <c r="K95" s="184"/>
      <c r="L95" s="184"/>
      <c r="M95" s="183"/>
      <c r="N95" s="183"/>
      <c r="O95" s="185"/>
    </row>
    <row r="96" spans="2:15" ht="15" customHeight="1">
      <c r="B96" s="188" t="s">
        <v>208</v>
      </c>
      <c r="C96" s="143"/>
      <c r="D96" s="143"/>
      <c r="E96" s="155"/>
      <c r="F96" s="155"/>
      <c r="G96" s="155"/>
      <c r="H96" s="155"/>
      <c r="I96" s="155"/>
      <c r="J96" s="155"/>
      <c r="K96" s="155"/>
      <c r="L96" s="155"/>
      <c r="M96" s="143"/>
      <c r="N96" s="143"/>
      <c r="O96" s="143"/>
    </row>
    <row r="97" spans="2:20" ht="16.5" customHeight="1">
      <c r="B97" s="189"/>
      <c r="C97" s="146" t="s">
        <v>86</v>
      </c>
      <c r="D97" s="147"/>
      <c r="E97" s="190"/>
      <c r="F97" s="191"/>
      <c r="G97" s="191"/>
      <c r="H97" s="191"/>
      <c r="I97" s="191"/>
      <c r="J97" s="191"/>
      <c r="K97" s="147"/>
      <c r="L97" s="147"/>
      <c r="M97" s="147"/>
      <c r="N97" s="147"/>
      <c r="O97" s="176"/>
      <c r="T97" s="139" t="b">
        <v>0</v>
      </c>
    </row>
    <row r="98" spans="2:20" ht="12.75" hidden="1">
      <c r="B98" s="150"/>
      <c r="C98" s="192" t="s">
        <v>41</v>
      </c>
      <c r="D98" s="192"/>
      <c r="E98" s="192"/>
      <c r="F98" s="193">
        <v>1</v>
      </c>
      <c r="G98" s="193">
        <v>2</v>
      </c>
      <c r="H98" s="193">
        <v>3</v>
      </c>
      <c r="I98" s="193">
        <v>4</v>
      </c>
      <c r="J98" s="193">
        <v>5</v>
      </c>
      <c r="K98" s="194" t="s">
        <v>158</v>
      </c>
      <c r="L98" s="194" t="s">
        <v>159</v>
      </c>
      <c r="M98" s="151"/>
      <c r="N98" s="151"/>
      <c r="O98" s="178"/>
      <c r="T98" s="139"/>
    </row>
    <row r="99" spans="2:20" ht="12.75" hidden="1">
      <c r="B99" s="150"/>
      <c r="C99" s="195">
        <f>C25</f>
        <v>0</v>
      </c>
      <c r="D99" s="192"/>
      <c r="E99" s="192"/>
      <c r="F99" s="153">
        <f>IF($J25="Straight Line",(IF(($H25/(1-($F25*$I25))*$I25)&gt;$H25,$H25,($H25/(1-($F25*$I25))*$I25))),$H25*$I25)*(MAX(IF(ROUNDDOWN(($E25-($F25+F$98-1)),0)&gt;0,1,($E25-($F25+F$98-1))),0))</f>
        <v>0</v>
      </c>
      <c r="G99" s="153">
        <f>IF($J25="Straight Line",(IF(($H25/(1-($F25*$I25))*$I25)&gt;($H25-SUM($F99:F99)),($H25-SUM($F99:F99)),($H25/(1-($F25*$I25))*$I25))),($H25-SUM($F99:F99))*$I25)*(MAX(IF(ROUNDDOWN(($E25-($F25+G$98-1)),0)&gt;0,1,($E25-($F25+G$98-1))),0))</f>
        <v>0</v>
      </c>
      <c r="H99" s="153">
        <f>IF($J25="Straight Line",(IF(($H25/(1-($F25*$I25))*$I25)&gt;($H25-SUM($F99:G99)),($H25-SUM($F99:G99)),($H25/(1-($F25*$I25))*$I25))),($H25-SUM($F99:G99))*$I25)*(MAX(IF(ROUNDDOWN(($E25-($F25+H$98-1)),0)&gt;0,1,($E25-($F25+H$98-1))),0))</f>
        <v>0</v>
      </c>
      <c r="I99" s="153">
        <f>IF($J25="Straight Line",(IF(($H25/(1-($F25*$I25))*$I25)&gt;($H25-SUM($F99:H99)),($H25-SUM($F99:H99)),($H25/(1-($F25*$I25))*$I25))),($H25-SUM($F99:H99))*$I25)*(MAX(IF(ROUNDDOWN(($E25-($F25+I$98-1)),0)&gt;0,1,($E25-($F25+I$98-1))),0))</f>
        <v>0</v>
      </c>
      <c r="J99" s="153">
        <f>IF($J25="Straight Line",(IF(($H25/(1-($F25*$I25))*$I25)&gt;($H25-SUM($F99:I99)),($H25-SUM($F99:I99)),($H25/(1-($F25*$I25))*$I25))),($H25-SUM($F99:I99))*$I25)*(MAX(IF(ROUNDDOWN(($E25-($F25+J$98-1)),0)&gt;0,1,($E25-($F25+J$98-1))),0))</f>
        <v>0</v>
      </c>
      <c r="K99" s="196">
        <f>IF(AND(($E25-$F25)&gt;5,($H25-SUM($F99:$J99))&gt;0),IF($J25="Straight Line",(MAX((($H25/(1-($F25*$I25)))*(1-($I25*MIN($E25,1/$I25))))/((1+$K$271)^($E25-$F25-5)),0)),(MAX((($H25/(1-$I25)^$F25)*((1-$I25)^$E25))/((1+$K$271)^($E25-$F25-5)),0))),0)</f>
        <v>0</v>
      </c>
      <c r="L99" s="153">
        <f>IF(AND(($E25-$F25)&gt;5,($H25-SUM($F99:$J99))&gt;0),IF(J25="Straight Line",(-PV($K$271,(MIN($E25,1/$I25)-$F25-5),(($H25/(1-($F25*$I25)))*I25))),(-PV($K$271,($E25-$F25-5),(($H25-SUM($F99:$J99))*($I25*0.67))))),0)</f>
        <v>0</v>
      </c>
      <c r="M99" s="151"/>
      <c r="N99" s="151"/>
      <c r="O99" s="178"/>
      <c r="T99" s="139"/>
    </row>
    <row r="100" spans="2:20" ht="12.75" hidden="1">
      <c r="B100" s="150"/>
      <c r="C100" s="195">
        <f>C26</f>
        <v>0</v>
      </c>
      <c r="D100" s="192"/>
      <c r="E100" s="192"/>
      <c r="F100" s="153">
        <f>IF($J26="Straight Line",(IF(($H26/(1-($F26*$I26))*$I26)&gt;$H26,$H26,($H26/(1-($F26*$I26))*$I26))),$H26*$I26)*(MAX(IF(ROUNDDOWN(($E26-($F26+F$98-1)),0)&gt;0,1,($E26-($F26+F$98-1))),0))</f>
        <v>0</v>
      </c>
      <c r="G100" s="153">
        <f>IF($J26="Straight Line",(IF(($H26/(1-($F26*$I26))*$I26)&gt;($H26-SUM($F100:F100)),($H26-SUM($F100:F100)),($H26/(1-($F26*$I26))*$I26))),($H26-SUM($F100:F100))*$I26)*(MAX(IF(ROUNDDOWN(($E26-($F26+G$98-1)),0)&gt;0,1,($E26-($F26+G$98-1))),0))</f>
        <v>0</v>
      </c>
      <c r="H100" s="153">
        <f>IF($J26="Straight Line",(IF(($H26/(1-($F26*$I26))*$I26)&gt;($H26-SUM($F100:G100)),($H26-SUM($F100:G100)),($H26/(1-($F26*$I26))*$I26))),($H26-SUM($F100:G100))*$I26)*(MAX(IF(ROUNDDOWN(($E26-($F26+H$98-1)),0)&gt;0,1,($E26-($F26+H$98-1))),0))</f>
        <v>0</v>
      </c>
      <c r="I100" s="153">
        <f>IF($J26="Straight Line",(IF(($H26/(1-($F26*$I26))*$I26)&gt;($H26-SUM($F100:H100)),($H26-SUM($F100:H100)),($H26/(1-($F26*$I26))*$I26))),($H26-SUM($F100:H100))*$I26)*(MAX(IF(ROUNDDOWN(($E26-($F26+I$98-1)),0)&gt;0,1,($E26-($F26+I$98-1))),0))</f>
        <v>0</v>
      </c>
      <c r="J100" s="153">
        <f>IF($J26="Straight Line",(IF(($H26/(1-($F26*$I26))*$I26)&gt;($H26-SUM($F100:I100)),($H26-SUM($F100:I100)),($H26/(1-($F26*$I26))*$I26))),($H26-SUM($F100:I100))*$I26)*(MAX(IF(ROUNDDOWN(($E26-($F26+J$98-1)),0)&gt;0,1,($E26-($F26+J$98-1))),0))</f>
        <v>0</v>
      </c>
      <c r="K100" s="196">
        <f>IF(AND(($E26-$F26)&gt;5,($H26-SUM($F100:$J100))&gt;0),IF($J26="Straight Line",(MAX((($H26/(1-($F26*$I26)))*(1-($I26*MIN($E26,1/$I26))))/((1+$K$271)^($E26-$F26-5)),0)),(MAX((($H26/(1-$I26)^$F26)*((1-$I26)^$E26))/((1+$K$271)^($E26-$F26-5)),0))),0)</f>
        <v>0</v>
      </c>
      <c r="L100" s="153">
        <f>IF(AND(($E26-$F26)&gt;5,($H26-SUM($F100:$J100))&gt;0),IF(J26="Straight Line",(-PV($K$271,(MIN($E26,1/$I26)-$F26-5),(($H26/(1-($F26*$I26)))*I26))),(-PV($K$271,($E26-$F26-5),(($H26-SUM($F100:$J100))*($I26*0.67))))),0)</f>
        <v>0</v>
      </c>
      <c r="M100" s="151"/>
      <c r="N100" s="151"/>
      <c r="O100" s="197"/>
      <c r="T100" s="139"/>
    </row>
    <row r="101" spans="2:20" ht="12.75" hidden="1">
      <c r="B101" s="150"/>
      <c r="C101" s="195">
        <f>C27</f>
        <v>0</v>
      </c>
      <c r="D101" s="192"/>
      <c r="E101" s="192"/>
      <c r="F101" s="153">
        <f>IF($J27="Straight Line",(IF(($H27/(1-($F27*$I27))*$I27)&gt;$H27,$H27,($H27/(1-($F27*$I27))*$I27))),$H27*$I27)*(MAX(IF(ROUNDDOWN(($E27-($F27+F$98-1)),0)&gt;0,1,($E27-($F27+F$98-1))),0))</f>
        <v>0</v>
      </c>
      <c r="G101" s="153">
        <f>IF($J27="Straight Line",(IF(($H27/(1-($F27*$I27))*$I27)&gt;($H27-SUM($F101:F101)),($H27-SUM($F101:F101)),($H27/(1-($F27*$I27))*$I27))),($H27-SUM($F101:F101))*$I27)*(MAX(IF(ROUNDDOWN(($E27-($F27+G$98-1)),0)&gt;0,1,($E27-($F27+G$98-1))),0))</f>
        <v>0</v>
      </c>
      <c r="H101" s="153">
        <f>IF($J27="Straight Line",(IF(($H27/(1-($F27*$I27))*$I27)&gt;($H27-SUM($F101:G101)),($H27-SUM($F101:G101)),($H27/(1-($F27*$I27))*$I27))),($H27-SUM($F101:G101))*$I27)*(MAX(IF(ROUNDDOWN(($E27-($F27+H$98-1)),0)&gt;0,1,($E27-($F27+H$98-1))),0))</f>
        <v>0</v>
      </c>
      <c r="I101" s="153">
        <f>IF($J27="Straight Line",(IF(($H27/(1-($F27*$I27))*$I27)&gt;($H27-SUM($F101:H101)),($H27-SUM($F101:H101)),($H27/(1-($F27*$I27))*$I27))),($H27-SUM($F101:H101))*$I27)*(MAX(IF(ROUNDDOWN(($E27-($F27+I$98-1)),0)&gt;0,1,($E27-($F27+I$98-1))),0))</f>
        <v>0</v>
      </c>
      <c r="J101" s="153">
        <f>IF($J27="Straight Line",(IF(($H27/(1-($F27*$I27))*$I27)&gt;($H27-SUM($F101:I101)),($H27-SUM($F101:I101)),($H27/(1-($F27*$I27))*$I27))),($H27-SUM($F101:I101))*$I27)*(MAX(IF(ROUNDDOWN(($E27-($F27+J$98-1)),0)&gt;0,1,($E27-($F27+J$98-1))),0))</f>
        <v>0</v>
      </c>
      <c r="K101" s="196">
        <f>IF(AND(($E27-$F27)&gt;5,($H27-SUM($F101:$J101))&gt;0),IF($J27="Straight Line",(MAX((($H27/(1-($F27*$I27)))*(1-($I27*MIN($E27,1/$I27))))/((1+$K$271)^($E27-$F27-5)),0)),(MAX((($H27/(1-$I27)^$F27)*((1-$I27)^$E27))/((1+$K$271)^($E27-$F27-5)),0))),0)</f>
        <v>0</v>
      </c>
      <c r="L101" s="153">
        <f>IF(AND(($E27-$F27)&gt;5,($H27-SUM($F101:$J101))&gt;0),IF(J27="Straight Line",(-PV($K$271,(MIN($E27,1/$I27)-$F27-5),(($H27/(1-($F27*$I27)))*I27))),(-PV($K$271,($E27-$F27-5),(($H27-SUM($F101:$J101))*($I27*0.67))))),0)</f>
        <v>0</v>
      </c>
      <c r="M101" s="153"/>
      <c r="N101" s="153"/>
      <c r="O101" s="178"/>
      <c r="T101" s="139"/>
    </row>
    <row r="102" spans="2:20" ht="12.75" hidden="1">
      <c r="B102" s="150"/>
      <c r="C102" s="195">
        <f>C28</f>
        <v>0</v>
      </c>
      <c r="D102" s="192"/>
      <c r="E102" s="192"/>
      <c r="F102" s="153">
        <f>IF($J28="Straight Line",(IF(($H28/(1-($F28*$I28))*$I28)&gt;$H28,$H28,($H28/(1-($F28*$I28))*$I28))),$H28*$I28)*(MAX(IF(ROUNDDOWN(($E28-($F28+F$98-1)),0)&gt;0,1,($E28-($F28+F$98-1))),0))</f>
        <v>0</v>
      </c>
      <c r="G102" s="153">
        <f>IF($J28="Straight Line",(IF(($H28/(1-($F28*$I28))*$I28)&gt;($H28-SUM($F102:F102)),($H28-SUM($F102:F102)),($H28/(1-($F28*$I28))*$I28))),($H28-SUM($F102:F102))*$I28)*(MAX(IF(ROUNDDOWN(($E28-($F28+G$98-1)),0)&gt;0,1,($E28-($F28+G$98-1))),0))</f>
        <v>0</v>
      </c>
      <c r="H102" s="153">
        <f>IF($J28="Straight Line",(IF(($H28/(1-($F28*$I28))*$I28)&gt;($H28-SUM($F102:G102)),($H28-SUM($F102:G102)),($H28/(1-($F28*$I28))*$I28))),($H28-SUM($F102:G102))*$I28)*(MAX(IF(ROUNDDOWN(($E28-($F28+H$98-1)),0)&gt;0,1,($E28-($F28+H$98-1))),0))</f>
        <v>0</v>
      </c>
      <c r="I102" s="153">
        <f>IF($J28="Straight Line",(IF(($H28/(1-($F28*$I28))*$I28)&gt;($H28-SUM($F102:H102)),($H28-SUM($F102:H102)),($H28/(1-($F28*$I28))*$I28))),($H28-SUM($F102:H102))*$I28)*(MAX(IF(ROUNDDOWN(($E28-($F28+I$98-1)),0)&gt;0,1,($E28-($F28+I$98-1))),0))</f>
        <v>0</v>
      </c>
      <c r="J102" s="153">
        <f>IF($J28="Straight Line",(IF(($H28/(1-($F28*$I28))*$I28)&gt;($H28-SUM($F102:I102)),($H28-SUM($F102:I102)),($H28/(1-($F28*$I28))*$I28))),($H28-SUM($F102:I102))*$I28)*(MAX(IF(ROUNDDOWN(($E28-($F28+J$98-1)),0)&gt;0,1,($E28-($F28+J$98-1))),0))</f>
        <v>0</v>
      </c>
      <c r="K102" s="196">
        <f>IF(AND(($E28-$F28)&gt;5,($H28-SUM($F102:$J102))&gt;0),IF($J28="Straight Line",(MAX((($H28/(1-($F28*$I28)))*(1-($I28*MIN($E28,1/$I28))))/((1+$K$271)^($E28-$F28-5)),0)),(MAX((($H28/(1-$I28)^$F28)*((1-$I28)^$E28))/((1+$K$271)^($E28-$F28-5)),0))),0)</f>
        <v>0</v>
      </c>
      <c r="L102" s="153">
        <f>IF(AND(($E28-$F28)&gt;5,($H28-SUM($F102:$J102))&gt;0),IF(J28="Straight Line",(-PV($K$271,(MIN($E28,1/$I28)-$F28-5),(($H28/(1-($F28*$I28)))*I28))),(-PV($K$271,($E28-$F28-5),(($H28-SUM($F102:$J102))*($I28*0.67))))),0)</f>
        <v>0</v>
      </c>
      <c r="M102" s="153"/>
      <c r="N102" s="153"/>
      <c r="O102" s="178"/>
      <c r="T102" s="139"/>
    </row>
    <row r="103" spans="2:20" ht="12.75" hidden="1">
      <c r="B103" s="150"/>
      <c r="C103" s="195">
        <f>C29</f>
        <v>0</v>
      </c>
      <c r="D103" s="192"/>
      <c r="E103" s="192"/>
      <c r="F103" s="153">
        <f>IF($J29="Straight Line",(IF(($H29/(1-($F29*$I29))*$I29)&gt;$H29,$H29,($H29/(1-($F29*$I29))*$I29))),$H29*$I29)*(MAX(IF(ROUNDDOWN(($E29-($F29+F$98-1)),0)&gt;0,1,($E29-($F29+F$98-1))),0))</f>
        <v>0</v>
      </c>
      <c r="G103" s="153">
        <f>IF($J29="Straight Line",(IF(($H29/(1-($F29*$I29))*$I29)&gt;($H29-SUM($F103:F103)),($H29-SUM($F103:F103)),($H29/(1-($F29*$I29))*$I29))),($H29-SUM($F103:F103))*$I29)*(MAX(IF(ROUNDDOWN(($E29-($F29+G$98-1)),0)&gt;0,1,($E29-($F29+G$98-1))),0))</f>
        <v>0</v>
      </c>
      <c r="H103" s="153">
        <f>IF($J29="Straight Line",(IF(($H29/(1-($F29*$I29))*$I29)&gt;($H29-SUM($F103:G103)),($H29-SUM($F103:G103)),($H29/(1-($F29*$I29))*$I29))),($H29-SUM($F103:G103))*$I29)*(MAX(IF(ROUNDDOWN(($E29-($F29+H$98-1)),0)&gt;0,1,($E29-($F29+H$98-1))),0))</f>
        <v>0</v>
      </c>
      <c r="I103" s="153">
        <f>IF($J29="Straight Line",(IF(($H29/(1-($F29*$I29))*$I29)&gt;($H29-SUM($F103:H103)),($H29-SUM($F103:H103)),($H29/(1-($F29*$I29))*$I29))),($H29-SUM($F103:H103))*$I29)*(MAX(IF(ROUNDDOWN(($E29-($F29+I$98-1)),0)&gt;0,1,($E29-($F29+I$98-1))),0))</f>
        <v>0</v>
      </c>
      <c r="J103" s="153">
        <f>IF($J29="Straight Line",(IF(($H29/(1-($F29*$I29))*$I29)&gt;($H29-SUM($F103:I103)),($H29-SUM($F103:I103)),($H29/(1-($F29*$I29))*$I29))),($H29-SUM($F103:I103))*$I29)*(MAX(IF(ROUNDDOWN(($E29-($F29+J$98-1)),0)&gt;0,1,($E29-($F29+J$98-1))),0))</f>
        <v>0</v>
      </c>
      <c r="K103" s="196">
        <f>IF(AND(($E29-$F29)&gt;5,($H29-SUM($F103:$J103))&gt;0),IF($J29="Straight Line",(MAX((($H29/(1-($F29*$I29)))*(1-($I29*MIN($E29,1/$I29))))/((1+$K$271)^($E29-$F29-5)),0)),(MAX((($H29/(1-$I29)^$F29)*((1-$I29)^$E29))/((1+$K$271)^($E29-$F29-5)),0))),0)</f>
        <v>0</v>
      </c>
      <c r="L103" s="153">
        <f>IF(AND(($E29-$F29)&gt;5,($H29-SUM($F103:$J103))&gt;0),IF(J29="Straight Line",(-PV($K$271,(MIN($E29,1/$I29)-$F29-5),(($H29/(1-($F29*$I29)))*I29))),(-PV($K$271,($E29-$F29-5),(($H29-SUM($F103:$J103))*($I29*0.67))))),0)</f>
        <v>0</v>
      </c>
      <c r="M103" s="153"/>
      <c r="N103" s="153"/>
      <c r="O103" s="178"/>
      <c r="T103" s="139"/>
    </row>
    <row r="104" spans="2:20" ht="12.75" hidden="1">
      <c r="B104" s="150"/>
      <c r="C104" s="192"/>
      <c r="D104" s="192"/>
      <c r="E104" s="192"/>
      <c r="F104" s="198">
        <f aca="true" t="shared" si="34" ref="F104:K104">SUM(F99:F103)</f>
        <v>0</v>
      </c>
      <c r="G104" s="198">
        <f t="shared" si="34"/>
        <v>0</v>
      </c>
      <c r="H104" s="198">
        <f t="shared" si="34"/>
        <v>0</v>
      </c>
      <c r="I104" s="198">
        <f t="shared" si="34"/>
        <v>0</v>
      </c>
      <c r="J104" s="198">
        <f t="shared" si="34"/>
        <v>0</v>
      </c>
      <c r="K104" s="199">
        <f t="shared" si="34"/>
        <v>0</v>
      </c>
      <c r="L104" s="198">
        <f>SUM(L99:L103)</f>
        <v>0</v>
      </c>
      <c r="M104" s="151"/>
      <c r="N104" s="151"/>
      <c r="O104" s="178"/>
      <c r="T104" s="139"/>
    </row>
    <row r="105" spans="2:20" ht="12.75" hidden="1">
      <c r="B105" s="150"/>
      <c r="C105" s="192" t="s">
        <v>43</v>
      </c>
      <c r="D105" s="192"/>
      <c r="E105" s="192"/>
      <c r="F105" s="151"/>
      <c r="G105" s="151"/>
      <c r="H105" s="151"/>
      <c r="I105" s="151"/>
      <c r="J105" s="151"/>
      <c r="K105" s="151"/>
      <c r="L105" s="151"/>
      <c r="M105" s="192"/>
      <c r="N105" s="192"/>
      <c r="O105" s="178"/>
      <c r="T105" s="139"/>
    </row>
    <row r="106" spans="2:20" ht="12.75" hidden="1">
      <c r="B106" s="150"/>
      <c r="C106" s="192">
        <f>C33</f>
        <v>0</v>
      </c>
      <c r="D106" s="192"/>
      <c r="E106" s="192"/>
      <c r="F106" s="153">
        <f>IF(F$98&gt;=$F33,IF($K33="Straight Line",(IF((($G33*$J33))&gt;$G33,($G33),($G33*$J33))),($G33*$J33)),0)*(MAX(IF(ROUNDDOWN((($E33+$F33)-F$98),0)&gt;0,1,(($E33+$F33)-F$98)),0))</f>
        <v>0</v>
      </c>
      <c r="G106" s="153">
        <f>IF(G$98&gt;=$F33,IF($K33="Straight Line",(IF((SUM($F106:F106)+($G33*$J33))&gt;$G33,($G33-SUM($F106:F106)),($G33*$J33))),(($G33-SUM($F106:F106))*$J33)),0)*(MAX(IF(ROUNDDOWN((($E33+$F33)-G$98),0)&gt;0,1,(($E33+$F33)-G$98)),0))</f>
        <v>0</v>
      </c>
      <c r="H106" s="153">
        <f>IF(H$98&gt;=$F33,IF($K33="Straight Line",(IF((SUM($F106:G106)+($G33*$J33))&gt;$G33,($G33-SUM($F106:G106)),($G33*$J33))),(($G33-SUM($F106:G106))*$J33)),0)*(MAX(IF(ROUNDDOWN((($E33+$F33)-H$98),0)&gt;0,1,(($E33+$F33)-H$98)),0))</f>
        <v>0</v>
      </c>
      <c r="I106" s="153">
        <f>IF(I$98&gt;=$F33,IF($K33="Straight Line",(IF((SUM($F106:H106)+($G33*$J33))&gt;$G33,($G33-SUM($F106:H106)),($G33*$J33))),(($G33-SUM($F106:H106))*$J33)),0)*(MAX(IF(ROUNDDOWN((($E33+$F33)-I$98),0)&gt;0,1,(($E33+$F33)-I$98)),0))</f>
        <v>0</v>
      </c>
      <c r="J106" s="153">
        <f>IF(J$98&gt;=$F33,IF($K33="Straight Line",(IF((SUM($F106:I106)+($G33*$J33))&gt;$G33,($G33-SUM($F106:I106)),($G33*$J33))),(($G33-SUM($F106:I106))*$J33)),0)*(MAX(IF(ROUNDDOWN((($E33+$F33)-J$98),0)&gt;0,1,(($E33+$F33)-J$98)),0))</f>
        <v>0</v>
      </c>
      <c r="K106" s="196">
        <f>IF(AND(($E33+$F33-6)&gt;5,($G33-SUM($F106:$J106))&gt;0),IF($K33="Straight Line",(MAX(($G33*(1-($J33*$E33)))/((1+$K$271)^($E33+$F33-6)),0)),(MAX(($G33*((1-$J33)^$E33))/((1+$K$271)^($E33+$F33-6)),0))),0)</f>
        <v>0</v>
      </c>
      <c r="L106" s="153">
        <f>IF(AND(($E33+$F33-6)&gt;5,($G33-SUM($F106:$J106))&gt;0),IF($K33="Straight Line",(-PV($K$271,(MIN($E33,1/$J33)+$F33-6),($G33*$J33))),(-PV($K$271,($E33+$F33-6),(($G33-SUM($F106:$J106))*($J33*0.67))))),0)</f>
        <v>0</v>
      </c>
      <c r="M106" s="153"/>
      <c r="N106" s="153"/>
      <c r="O106" s="178"/>
      <c r="T106" s="139"/>
    </row>
    <row r="107" spans="2:20" ht="12.75" hidden="1">
      <c r="B107" s="150"/>
      <c r="C107" s="192">
        <f>C34</f>
        <v>0</v>
      </c>
      <c r="D107" s="192"/>
      <c r="E107" s="192"/>
      <c r="F107" s="153">
        <f>IF(F$98&gt;=$F34,IF($K34="Straight Line",(IF((($G34*$J34))&gt;$G34,($G34),($G34*$J34))),($G34*$J34)),0)*(MAX(IF(ROUNDDOWN((($E34+$F34)-F$98),0)&gt;0,1,(($E34+$F34)-F$98)),0))</f>
        <v>0</v>
      </c>
      <c r="G107" s="153">
        <f>IF(G$98&gt;=$F34,IF($K34="Straight Line",(IF((SUM($F107:F107)+($G34*$J34))&gt;$G34,($G34-SUM($F107:F107)),($G34*$J34))),(($G34-SUM($F107:F107))*$J34)),0)*(MAX(IF(ROUNDDOWN((($E34+$F34)-G$98),0)&gt;0,1,(($E34+$F34)-G$98)),0))</f>
        <v>0</v>
      </c>
      <c r="H107" s="153">
        <f>IF(H$98&gt;=$F34,IF($K34="Straight Line",(IF((SUM($F107:G107)+($G34*$J34))&gt;$G34,($G34-SUM($F107:G107)),($G34*$J34))),(($G34-SUM($F107:G107))*$J34)),0)*(MAX(IF(ROUNDDOWN((($E34+$F34)-H$98),0)&gt;0,1,(($E34+$F34)-H$98)),0))</f>
        <v>0</v>
      </c>
      <c r="I107" s="153">
        <f>IF(I$98&gt;=$F34,IF($K34="Straight Line",(IF((SUM($F107:H107)+($G34*$J34))&gt;$G34,($G34-SUM($F107:H107)),($G34*$J34))),(($G34-SUM($F107:H107))*$J34)),0)*(MAX(IF(ROUNDDOWN((($E34+$F34)-I$98),0)&gt;0,1,(($E34+$F34)-I$98)),0))</f>
        <v>0</v>
      </c>
      <c r="J107" s="153">
        <f>IF(J$98&gt;=$F34,IF($K34="Straight Line",(IF((SUM($F107:I107)+($G34*$J34))&gt;$G34,($G34-SUM($F107:I107)),($G34*$J34))),(($G34-SUM($F107:I107))*$J34)),0)*(MAX(IF(ROUNDDOWN((($E34+$F34)-J$98),0)&gt;0,1,(($E34+$F34)-J$98)),0))</f>
        <v>0</v>
      </c>
      <c r="K107" s="196">
        <f>IF(AND(($E34+$F34-6)&gt;5,($G34-SUM($F107:$J107))&gt;0),IF($K34="Straight Line",(MAX(($G34*(1-($J34*$E34)))/((1+$K$271)^($E34+$F34-6)),0)),(MAX(($G34*((1-$J34)^$E34))/((1+$K$271)^($E34+$F34-6)),0))),0)</f>
        <v>0</v>
      </c>
      <c r="L107" s="153">
        <f>IF(AND(($E34+$F34-6)&gt;5,($G34-SUM($F107:$J107))&gt;0),IF($K34="Straight Line",(-PV($K$271,(MIN($E34,1/$J34)+$F34-6),($G34*$J34))),(-PV($K$271,($E34+$F34-6),(($G34-SUM($F107:$J107))*($J34*0.67))))),0)</f>
        <v>0</v>
      </c>
      <c r="M107" s="153"/>
      <c r="N107" s="153"/>
      <c r="O107" s="200"/>
      <c r="T107" s="139"/>
    </row>
    <row r="108" spans="2:20" ht="12.75" hidden="1">
      <c r="B108" s="150"/>
      <c r="C108" s="192">
        <f>C35</f>
        <v>0</v>
      </c>
      <c r="D108" s="192"/>
      <c r="E108" s="192"/>
      <c r="F108" s="153">
        <f>IF(F$98&gt;=$F35,IF($K35="Straight Line",(IF((($G35*$J35))&gt;$G35,($G35),($G35*$J35))),($G35*$J35)),0)*(MAX(IF(ROUNDDOWN((($E35+$F35)-F$98),0)&gt;0,1,(($E35+$F35)-F$98)),0))</f>
        <v>0</v>
      </c>
      <c r="G108" s="153">
        <f>IF(G$98&gt;=$F35,IF($K35="Straight Line",(IF((SUM($F108:F108)+($G35*$J35))&gt;$G35,($G35-SUM($F108:F108)),($G35*$J35))),(($G35-SUM($F108:F108))*$J35)),0)*(MAX(IF(ROUNDDOWN((($E35+$F35)-G$98),0)&gt;0,1,(($E35+$F35)-G$98)),0))</f>
        <v>0</v>
      </c>
      <c r="H108" s="153">
        <f>IF(H$98&gt;=$F35,IF($K35="Straight Line",(IF((SUM($F108:G108)+($G35*$J35))&gt;$G35,($G35-SUM($F108:G108)),($G35*$J35))),(($G35-SUM($F108:G108))*$J35)),0)*(MAX(IF(ROUNDDOWN((($E35+$F35)-H$98),0)&gt;0,1,(($E35+$F35)-H$98)),0))</f>
        <v>0</v>
      </c>
      <c r="I108" s="153">
        <f>IF(I$98&gt;=$F35,IF($K35="Straight Line",(IF((SUM($F108:H108)+($G35*$J35))&gt;$G35,($G35-SUM($F108:H108)),($G35*$J35))),(($G35-SUM($F108:H108))*$J35)),0)*(MAX(IF(ROUNDDOWN((($E35+$F35)-I$98),0)&gt;0,1,(($E35+$F35)-I$98)),0))</f>
        <v>0</v>
      </c>
      <c r="J108" s="153">
        <f>IF(J$98&gt;=$F35,IF($K35="Straight Line",(IF((SUM($F108:I108)+($G35*$J35))&gt;$G35,($G35-SUM($F108:I108)),($G35*$J35))),(($G35-SUM($F108:I108))*$J35)),0)*(MAX(IF(ROUNDDOWN((($E35+$F35)-J$98),0)&gt;0,1,(($E35+$F35)-J$98)),0))</f>
        <v>0</v>
      </c>
      <c r="K108" s="196">
        <f>IF(AND(($E35+$F35-6)&gt;5,($G35-SUM($F108:$J108))&gt;0),IF($K35="Straight Line",(MAX(($G35*(1-($J35*$E35)))/((1+$K$271)^($E35+$F35-6)),0)),(MAX(($G35*((1-$J35)^$E35))/((1+$K$271)^($E35+$F35-6)),0))),0)</f>
        <v>0</v>
      </c>
      <c r="L108" s="153">
        <f>IF(AND(($E35+$F35-6)&gt;5,($G35-SUM($F108:$J108))&gt;0),IF($K35="Straight Line",(-PV($K$271,(MIN($E35,1/$J35)+$F35-6),($G35*$J35))),(-PV($K$271,($E35+$F35-6),(($G35-SUM($F108:$J108))*($J35*0.67))))),0)</f>
        <v>0</v>
      </c>
      <c r="M108" s="151"/>
      <c r="N108" s="151"/>
      <c r="O108" s="178"/>
      <c r="T108" s="139"/>
    </row>
    <row r="109" spans="2:20" ht="12.75" hidden="1">
      <c r="B109" s="150"/>
      <c r="C109" s="192">
        <f>C36</f>
        <v>0</v>
      </c>
      <c r="D109" s="192"/>
      <c r="E109" s="192"/>
      <c r="F109" s="153">
        <f>IF(F$98&gt;=$F36,IF($K36="Straight Line",(IF((($G36*$J36))&gt;$G36,($G36),($G36*$J36))),($G36*$J36)),0)*(MAX(IF(ROUNDDOWN((($E36+$F36)-F$98),0)&gt;0,1,(($E36+$F36)-F$98)),0))</f>
        <v>0</v>
      </c>
      <c r="G109" s="153">
        <f>IF(G$98&gt;=$F36,IF($K36="Straight Line",(IF((SUM($F109:F109)+($G36*$J36))&gt;$G36,($G36-SUM($F109:F109)),($G36*$J36))),(($G36-SUM($F109:F109))*$J36)),0)*(MAX(IF(ROUNDDOWN((($E36+$F36)-G$98),0)&gt;0,1,(($E36+$F36)-G$98)),0))</f>
        <v>0</v>
      </c>
      <c r="H109" s="153">
        <f>IF(H$98&gt;=$F36,IF($K36="Straight Line",(IF((SUM($F109:G109)+($G36*$J36))&gt;$G36,($G36-SUM($F109:G109)),($G36*$J36))),(($G36-SUM($F109:G109))*$J36)),0)*(MAX(IF(ROUNDDOWN((($E36+$F36)-H$98),0)&gt;0,1,(($E36+$F36)-H$98)),0))</f>
        <v>0</v>
      </c>
      <c r="I109" s="153">
        <f>IF(I$98&gt;=$F36,IF($K36="Straight Line",(IF((SUM($F109:H109)+($G36*$J36))&gt;$G36,($G36-SUM($F109:H109)),($G36*$J36))),(($G36-SUM($F109:H109))*$J36)),0)*(MAX(IF(ROUNDDOWN((($E36+$F36)-I$98),0)&gt;0,1,(($E36+$F36)-I$98)),0))</f>
        <v>0</v>
      </c>
      <c r="J109" s="153">
        <f>IF(J$98&gt;=$F36,IF($K36="Straight Line",(IF((SUM($F109:I109)+($G36*$J36))&gt;$G36,($G36-SUM($F109:I109)),($G36*$J36))),(($G36-SUM($F109:I109))*$J36)),0)*(MAX(IF(ROUNDDOWN((($E36+$F36)-J$98),0)&gt;0,1,(($E36+$F36)-J$98)),0))</f>
        <v>0</v>
      </c>
      <c r="K109" s="196">
        <f>IF(AND(($E36+$F36-6)&gt;5,($G36-SUM($F109:$J109))&gt;0),IF($K36="Straight Line",(MAX(($G36*(1-($J36*$E36)))/((1+$K$271)^($E36+$F36-6)),0)),(MAX(($G36*((1-$J36)^$E36))/((1+$K$271)^($E36+$F36-6)),0))),0)</f>
        <v>0</v>
      </c>
      <c r="L109" s="153">
        <f>IF(AND(($E36+$F36-6)&gt;5,($G36-SUM($F109:$J109))&gt;0),IF($K36="Straight Line",(-PV($K$271,(MIN($E36,1/$J36)+$F36-6),($G36*$J36))),(-PV($K$271,($E36+$F36-6),(($G36-SUM($F109:$J109))*($J36*0.67))))),0)</f>
        <v>0</v>
      </c>
      <c r="M109" s="151"/>
      <c r="N109" s="201"/>
      <c r="O109" s="197"/>
      <c r="P109" s="42"/>
      <c r="T109" s="139"/>
    </row>
    <row r="110" spans="2:20" ht="12.75" hidden="1">
      <c r="B110" s="150"/>
      <c r="C110" s="192">
        <f>C37</f>
        <v>0</v>
      </c>
      <c r="D110" s="192"/>
      <c r="E110" s="192"/>
      <c r="F110" s="153">
        <f>IF(F$98&gt;=$F37,IF($K37="Straight Line",(IF((($G37*$J37))&gt;$G37,($G37),($G37*$J37))),($G37*$J37)),0)*(MAX(IF(ROUNDDOWN((($E37+$F37)-F$98),0)&gt;0,1,(($E37+$F37)-F$98)),0))</f>
        <v>0</v>
      </c>
      <c r="G110" s="153">
        <f>IF(G$98&gt;=$F37,IF($K37="Straight Line",(IF((SUM($F110:F110)+($G37*$J37))&gt;$G37,($G37-SUM($F110:F110)),($G37*$J37))),(($G37-SUM($F110:F110))*$J37)),0)*(MAX(IF(ROUNDDOWN((($E37+$F37)-G$98),0)&gt;0,1,(($E37+$F37)-G$98)),0))</f>
        <v>0</v>
      </c>
      <c r="H110" s="153">
        <f>IF(H$98&gt;=$F37,IF($K37="Straight Line",(IF((SUM($F110:G110)+($G37*$J37))&gt;$G37,($G37-SUM($F110:G110)),($G37*$J37))),(($G37-SUM($F110:G110))*$J37)),0)*(MAX(IF(ROUNDDOWN((($E37+$F37)-H$98),0)&gt;0,1,(($E37+$F37)-H$98)),0))</f>
        <v>0</v>
      </c>
      <c r="I110" s="153">
        <f>IF(I$98&gt;=$F37,IF($K37="Straight Line",(IF((SUM($F110:H110)+($G37*$J37))&gt;$G37,($G37-SUM($F110:H110)),($G37*$J37))),(($G37-SUM($F110:H110))*$J37)),0)*(MAX(IF(ROUNDDOWN((($E37+$F37)-I$98),0)&gt;0,1,(($E37+$F37)-I$98)),0))</f>
        <v>0</v>
      </c>
      <c r="J110" s="153">
        <f>IF(J$98&gt;=$F37,IF($K37="Straight Line",(IF((SUM($F110:I110)+($G37*$J37))&gt;$G37,($G37-SUM($F110:I110)),($G37*$J37))),(($G37-SUM($F110:I110))*$J37)),0)*(MAX(IF(ROUNDDOWN((($E37+$F37)-J$98),0)&gt;0,1,(($E37+$F37)-J$98)),0))</f>
        <v>0</v>
      </c>
      <c r="K110" s="196">
        <f>IF(AND(($E37+$F37-6)&gt;5,($G37-SUM($F110:$J110))&gt;0),IF($K37="Straight Line",(MAX(($G37*(1-($J37*$E37)))/((1+$K$271)^($E37+$F37-6)),0)),(MAX(($G37*((1-$J37)^$E37))/((1+$K$271)^($E37+$F37-6)),0))),0)</f>
        <v>0</v>
      </c>
      <c r="L110" s="153">
        <f>IF(AND(($E37+$F37-6)&gt;5,($G37-SUM($F110:$J110))&gt;0),IF($K37="Straight Line",(-PV($K$271,(MIN($E37,1/$J37)+$F37-6),($G37*$J37))),(-PV($K$271,($E37+$F37-6),(($G37-SUM($F110:$J110))*($J37*0.67))))),0)</f>
        <v>0</v>
      </c>
      <c r="M110" s="151"/>
      <c r="N110" s="151"/>
      <c r="O110" s="178"/>
      <c r="T110" s="139"/>
    </row>
    <row r="111" spans="2:20" ht="12.75" hidden="1">
      <c r="B111" s="150"/>
      <c r="C111" s="192"/>
      <c r="D111" s="192"/>
      <c r="E111" s="192"/>
      <c r="F111" s="198">
        <f aca="true" t="shared" si="35" ref="F111:K111">SUM(F106:F110)</f>
        <v>0</v>
      </c>
      <c r="G111" s="198">
        <f t="shared" si="35"/>
        <v>0</v>
      </c>
      <c r="H111" s="198">
        <f t="shared" si="35"/>
        <v>0</v>
      </c>
      <c r="I111" s="198">
        <f t="shared" si="35"/>
        <v>0</v>
      </c>
      <c r="J111" s="198">
        <f t="shared" si="35"/>
        <v>0</v>
      </c>
      <c r="K111" s="199">
        <f t="shared" si="35"/>
        <v>0</v>
      </c>
      <c r="L111" s="198">
        <f>SUM(L106:L110)</f>
        <v>0</v>
      </c>
      <c r="M111" s="151"/>
      <c r="N111" s="151"/>
      <c r="O111" s="197"/>
      <c r="T111" s="139"/>
    </row>
    <row r="112" spans="2:20" ht="4.5" customHeight="1" hidden="1">
      <c r="B112" s="150"/>
      <c r="C112" s="192"/>
      <c r="D112" s="192"/>
      <c r="E112" s="192"/>
      <c r="F112" s="153"/>
      <c r="G112" s="153"/>
      <c r="H112" s="153"/>
      <c r="I112" s="153"/>
      <c r="J112" s="153"/>
      <c r="K112" s="153"/>
      <c r="L112" s="153"/>
      <c r="M112" s="151"/>
      <c r="N112" s="151"/>
      <c r="O112" s="178"/>
      <c r="T112" s="139"/>
    </row>
    <row r="113" spans="2:20" ht="13.5" hidden="1" thickBot="1">
      <c r="B113" s="150"/>
      <c r="C113" s="202" t="s">
        <v>120</v>
      </c>
      <c r="D113" s="192"/>
      <c r="E113" s="192"/>
      <c r="F113" s="203">
        <f aca="true" t="shared" si="36" ref="F113:K113">F104+F111</f>
        <v>0</v>
      </c>
      <c r="G113" s="203">
        <f t="shared" si="36"/>
        <v>0</v>
      </c>
      <c r="H113" s="203">
        <f t="shared" si="36"/>
        <v>0</v>
      </c>
      <c r="I113" s="203">
        <f t="shared" si="36"/>
        <v>0</v>
      </c>
      <c r="J113" s="203">
        <f t="shared" si="36"/>
        <v>0</v>
      </c>
      <c r="K113" s="204">
        <f t="shared" si="36"/>
        <v>0</v>
      </c>
      <c r="L113" s="203">
        <f>L104+L111</f>
        <v>0</v>
      </c>
      <c r="M113" s="151"/>
      <c r="N113" s="151"/>
      <c r="O113" s="178"/>
      <c r="T113" s="139"/>
    </row>
    <row r="114" spans="2:20" ht="6" customHeight="1" hidden="1">
      <c r="B114" s="150"/>
      <c r="C114" s="192"/>
      <c r="D114" s="192"/>
      <c r="E114" s="192"/>
      <c r="F114" s="153"/>
      <c r="G114" s="153"/>
      <c r="H114" s="153"/>
      <c r="I114" s="153"/>
      <c r="J114" s="153"/>
      <c r="K114" s="153"/>
      <c r="L114" s="153"/>
      <c r="M114" s="151"/>
      <c r="N114" s="151"/>
      <c r="O114" s="178"/>
      <c r="T114" s="139"/>
    </row>
    <row r="115" spans="2:20" ht="12.75" hidden="1">
      <c r="B115" s="150"/>
      <c r="C115" s="192" t="s">
        <v>42</v>
      </c>
      <c r="D115" s="192"/>
      <c r="E115" s="192"/>
      <c r="F115" s="153"/>
      <c r="G115" s="153"/>
      <c r="H115" s="153"/>
      <c r="I115" s="153"/>
      <c r="J115" s="153"/>
      <c r="K115" s="194" t="s">
        <v>158</v>
      </c>
      <c r="L115" s="194" t="s">
        <v>159</v>
      </c>
      <c r="M115" s="151"/>
      <c r="N115" s="151"/>
      <c r="O115" s="178"/>
      <c r="T115" s="139"/>
    </row>
    <row r="116" spans="2:20" ht="12.75" hidden="1">
      <c r="B116" s="150"/>
      <c r="C116" s="195">
        <f>C25</f>
        <v>0</v>
      </c>
      <c r="D116" s="192"/>
      <c r="E116" s="192"/>
      <c r="F116" s="153">
        <f>IF($M25="Straight Line",(IF(($K25/(1-($F25*$L25))*$L25)&gt;$K25,$K25,($K25/(1-($F25*$L25))*$L25))),$K25*$L25)*(MAX(IF(ROUNDDOWN(($E25-($F25+F$98-1)),0)&gt;0,1,($E25-($F25+F$98-1))),0))</f>
        <v>0</v>
      </c>
      <c r="G116" s="153">
        <f>IF($M25="Straight Line",(IF(($K25/(1-($F25*$L25))*$L25)&gt;($K25-SUM($F116:F116)),($K25-SUM($F116:F116)),($K25/(1-($F25*$L25))*$L25))),($K25-SUM($F116:F116))*$L25)*(MAX(IF(ROUNDDOWN(($E25-($F25+G$98-1)),0)&gt;0,1,($E25-($F25+G$98-1))),0))</f>
        <v>0</v>
      </c>
      <c r="H116" s="153">
        <f>IF($M25="Straight Line",(IF(($K25/(1-($F25*$L25))*$L25)&gt;($K25-SUM($F116:G116)),($K25-SUM($F116:G116)),($K25/(1-($F25*$L25))*$L25))),($K25-SUM($F116:G116))*$L25)*(MAX(IF(ROUNDDOWN(($E25-($F25+H$98-1)),0)&gt;0,1,($E25-($F25+H$98-1))),0))</f>
        <v>0</v>
      </c>
      <c r="I116" s="153">
        <f>IF($M25="Straight Line",(IF(($K25/(1-($F25*$L25))*$L25)&gt;($K25-SUM($F116:H116)),($K25-SUM($F116:H116)),($K25/(1-($F25*$L25))*$L25))),($K25-SUM($F116:H116))*$L25)*(MAX(IF(ROUNDDOWN(($E25-($F25+I$98-1)),0)&gt;0,1,($E25-($F25+I$98-1))),0))</f>
        <v>0</v>
      </c>
      <c r="J116" s="153">
        <f>IF($M25="Straight Line",(IF(($K25/(1-($F25*$L25))*$L25)&gt;($K25-SUM($F116:I116)),($K25-SUM($F116:I116)),($K25/(1-($F25*$L25))*$L25))),($K25-SUM($F116:I116))*$L25)*(MAX(IF(ROUNDDOWN(($E25-($F25+J$98-1)),0)&gt;0,1,($E25-($F25+J$98-1))),0))</f>
        <v>0</v>
      </c>
      <c r="K116" s="196">
        <f>IF(AND(($E25-$F25)&gt;5,($K25-SUM($F116:$J116))&gt;0),IF($M25="Straight Line",(MAX((($K25/(1-($F25*$L25)))*(1-($L25*MIN($E25,1/$L25))))/((1+$K$271)^($E25-$F25-5)),0)),(MAX((($K25/(1-$L25)^$F25)*((1-$L25)^$E25))/((1+$K$271)^($E25-$F25-5)),0))),0)</f>
        <v>0</v>
      </c>
      <c r="L116" s="153">
        <f>IF(AND(($E25-$F25)&gt;5,($K25-SUM($F116:$J116))&gt;0),IF($M25="Straight Line",(-PV($K$271,(MIN($E25,1/$L25)-$F25-5),(($K25/(1-($F25*$L25)))*L25))),(-PV($K$271,($E25-$F25-5),(($K25-SUM($F116:$J116))*($L25*0.67))))),0)</f>
        <v>0</v>
      </c>
      <c r="M116" s="151"/>
      <c r="N116" s="151"/>
      <c r="O116" s="205"/>
      <c r="T116" s="139"/>
    </row>
    <row r="117" spans="2:20" ht="12.75" hidden="1">
      <c r="B117" s="150"/>
      <c r="C117" s="195">
        <f>C26</f>
        <v>0</v>
      </c>
      <c r="D117" s="192"/>
      <c r="E117" s="192"/>
      <c r="F117" s="153">
        <f>IF($M26="Straight Line",(IF(($K26/(1-($F26*$L26))*$L26)&gt;$K26,$K26,($K26/(1-($F26*$L26))*$L26))),$K26*$L26)*(MAX(IF(ROUNDDOWN(($E26-($F26+F$98-1)),0)&gt;0,1,($E26-($F26+F$98-1))),0))</f>
        <v>0</v>
      </c>
      <c r="G117" s="153">
        <f>IF($M26="Straight Line",(IF(($K26/(1-($F26*$L26))*$L26)&gt;($K26-SUM($F117:F117)),($K26-SUM($F117:F117)),($K26/(1-($F26*$L26))*$L26))),($K26-SUM($F117:F117))*$L26)*(MAX(IF(ROUNDDOWN(($E26-($F26+G$98-1)),0)&gt;0,1,($E26-($F26+G$98-1))),0))</f>
        <v>0</v>
      </c>
      <c r="H117" s="153">
        <f>IF($M26="Straight Line",(IF(($K26/(1-($F26*$L26))*$L26)&gt;($K26-SUM($F117:G117)),($K26-SUM($F117:G117)),($K26/(1-($F26*$L26))*$L26))),($K26-SUM($F117:G117))*$L26)*(MAX(IF(ROUNDDOWN(($E26-($F26+H$98-1)),0)&gt;0,1,($E26-($F26+H$98-1))),0))</f>
        <v>0</v>
      </c>
      <c r="I117" s="153">
        <f>IF($M26="Straight Line",(IF(($K26/(1-($F26*$L26))*$L26)&gt;($K26-SUM($F117:H117)),($K26-SUM($F117:H117)),($K26/(1-($F26*$L26))*$L26))),($K26-SUM($F117:H117))*$L26)*(MAX(IF(ROUNDDOWN(($E26-($F26+I$98-1)),0)&gt;0,1,($E26-($F26+I$98-1))),0))</f>
        <v>0</v>
      </c>
      <c r="J117" s="153">
        <f>IF($M26="Straight Line",(IF(($K26/(1-($F26*$L26))*$L26)&gt;($K26-SUM($F117:I117)),($K26-SUM($F117:I117)),($K26/(1-($F26*$L26))*$L26))),($K26-SUM($F117:I117))*$L26)*(MAX(IF(ROUNDDOWN(($E26-($F26+J$98-1)),0)&gt;0,1,($E26-($F26+J$98-1))),0))</f>
        <v>0</v>
      </c>
      <c r="K117" s="196">
        <f>IF(AND(($E26-$F26)&gt;5,($K26-SUM($F117:$J117))&gt;0),IF($M26="Straight Line",(MAX((($K26/(1-($F26*$L26)))*(1-($L26*MIN($E26,1/$L26))))/((1+$K$271)^($E26-$F26-5)),0)),(MAX((($K26/(1-$L26)^$F26)*((1-$L26)^$E26))/((1+$K$271)^($E26-$F26-5)),0))),0)</f>
        <v>0</v>
      </c>
      <c r="L117" s="153">
        <f>IF(AND(($E26-$F26)&gt;5,($K26-SUM($F117:$J117))&gt;0),IF($M26="Straight Line",(-PV($K$271,(MIN($E26,1/$L26)-$F26-5),(($K26/(1-($F26*$L26)))*L26))),(-PV($K$271,($E26-$F26-5),(($K26-SUM($F117:$J117))*($L26*0.67))))),0)</f>
        <v>0</v>
      </c>
      <c r="M117" s="151"/>
      <c r="N117" s="151"/>
      <c r="O117" s="178"/>
      <c r="T117" s="139"/>
    </row>
    <row r="118" spans="2:20" ht="12.75" hidden="1">
      <c r="B118" s="150"/>
      <c r="C118" s="195">
        <f>C27</f>
        <v>0</v>
      </c>
      <c r="D118" s="192"/>
      <c r="E118" s="192"/>
      <c r="F118" s="153">
        <f>IF($M27="Straight Line",(IF(($K27/(1-($F27*$L27))*$L27)&gt;$K27,$K27,($K27/(1-($F27*$L27))*$L27))),$K27*$L27)*(MAX(IF(ROUNDDOWN(($E27-($F27+F$98-1)),0)&gt;0,1,($E27-($F27+F$98-1))),0))</f>
        <v>0</v>
      </c>
      <c r="G118" s="153">
        <f>IF($M27="Straight Line",(IF(($K27/(1-($F27*$L27))*$L27)&gt;($K27-SUM($F118:F118)),($K27-SUM($F118:F118)),($K27/(1-($F27*$L27))*$L27))),($K27-SUM($F118:F118))*$L27)*(MAX(IF(ROUNDDOWN(($E27-($F27+G$98-1)),0)&gt;0,1,($E27-($F27+G$98-1))),0))</f>
        <v>0</v>
      </c>
      <c r="H118" s="153">
        <f>IF($M27="Straight Line",(IF(($K27/(1-($F27*$L27))*$L27)&gt;($K27-SUM($F118:G118)),($K27-SUM($F118:G118)),($K27/(1-($F27*$L27))*$L27))),($K27-SUM($F118:G118))*$L27)*(MAX(IF(ROUNDDOWN(($E27-($F27+H$98-1)),0)&gt;0,1,($E27-($F27+H$98-1))),0))</f>
        <v>0</v>
      </c>
      <c r="I118" s="153">
        <f>IF($M27="Straight Line",(IF(($K27/(1-($F27*$L27))*$L27)&gt;($K27-SUM($F118:H118)),($K27-SUM($F118:H118)),($K27/(1-($F27*$L27))*$L27))),($K27-SUM($F118:H118))*$L27)*(MAX(IF(ROUNDDOWN(($E27-($F27+I$98-1)),0)&gt;0,1,($E27-($F27+I$98-1))),0))</f>
        <v>0</v>
      </c>
      <c r="J118" s="153">
        <f>IF($M27="Straight Line",(IF(($K27/(1-($F27*$L27))*$L27)&gt;($K27-SUM($F118:I118)),($K27-SUM($F118:I118)),($K27/(1-($F27*$L27))*$L27))),($K27-SUM($F118:I118))*$L27)*(MAX(IF(ROUNDDOWN(($E27-($F27+J$98-1)),0)&gt;0,1,($E27-($F27+J$98-1))),0))</f>
        <v>0</v>
      </c>
      <c r="K118" s="196">
        <f>IF(AND(($E27-$F27)&gt;5,($K27-SUM($F118:$J118))&gt;0),IF($M27="Straight Line",(MAX((($K27/(1-($F27*$L27)))*(1-($L27*MIN($E27,1/$L27))))/((1+$K$271)^($E27-$F27-5)),0)),(MAX((($K27/(1-$L27)^$F27)*((1-$L27)^$E27))/((1+$K$271)^($E27-$F27-5)),0))),0)</f>
        <v>0</v>
      </c>
      <c r="L118" s="153">
        <f>IF(AND(($E27-$F27)&gt;5,($K27-SUM($F118:$J118))&gt;0),IF($M27="Straight Line",(-PV($K$271,(MIN($E27,1/$L27)-$F27-5),(($K27/(1-($F27*$L27)))*L27))),(-PV($K$271,($E27-$F27-5),(($K27-SUM($F118:$J118))*($L27*0.67))))),0)</f>
        <v>0</v>
      </c>
      <c r="M118" s="151"/>
      <c r="N118" s="151"/>
      <c r="O118" s="178"/>
      <c r="T118" s="139"/>
    </row>
    <row r="119" spans="2:20" ht="12.75" hidden="1">
      <c r="B119" s="150"/>
      <c r="C119" s="195">
        <f>C28</f>
        <v>0</v>
      </c>
      <c r="D119" s="192"/>
      <c r="E119" s="192"/>
      <c r="F119" s="153">
        <f>IF($M28="Straight Line",(IF(($K28/(1-($F28*$L28))*$L28)&gt;$K28,$K28,($K28/(1-($F28*$L28))*$L28))),$K28*$L28)*(MAX(IF(ROUNDDOWN(($E28-($F28+F$98-1)),0)&gt;0,1,($E28-($F28+F$98-1))),0))</f>
        <v>0</v>
      </c>
      <c r="G119" s="153">
        <f>IF($M28="Straight Line",(IF(($K28/(1-($F28*$L28))*$L28)&gt;($K28-SUM($F119:F119)),($K28-SUM($F119:F119)),($K28/(1-($F28*$L28))*$L28))),($K28-SUM($F119:F119))*$L28)*(MAX(IF(ROUNDDOWN(($E28-($F28+G$98-1)),0)&gt;0,1,($E28-($F28+G$98-1))),0))</f>
        <v>0</v>
      </c>
      <c r="H119" s="153">
        <f>IF($M28="Straight Line",(IF(($K28/(1-($F28*$L28))*$L28)&gt;($K28-SUM($F119:G119)),($K28-SUM($F119:G119)),($K28/(1-($F28*$L28))*$L28))),($K28-SUM($F119:G119))*$L28)*(MAX(IF(ROUNDDOWN(($E28-($F28+H$98-1)),0)&gt;0,1,($E28-($F28+H$98-1))),0))</f>
        <v>0</v>
      </c>
      <c r="I119" s="153">
        <f>IF($M28="Straight Line",(IF(($K28/(1-($F28*$L28))*$L28)&gt;($K28-SUM($F119:H119)),($K28-SUM($F119:H119)),($K28/(1-($F28*$L28))*$L28))),($K28-SUM($F119:H119))*$L28)*(MAX(IF(ROUNDDOWN(($E28-($F28+I$98-1)),0)&gt;0,1,($E28-($F28+I$98-1))),0))</f>
        <v>0</v>
      </c>
      <c r="J119" s="153">
        <f>IF($M28="Straight Line",(IF(($K28/(1-($F28*$L28))*$L28)&gt;($K28-SUM($F119:I119)),($K28-SUM($F119:I119)),($K28/(1-($F28*$L28))*$L28))),($K28-SUM($F119:I119))*$L28)*(MAX(IF(ROUNDDOWN(($E28-($F28+J$98-1)),0)&gt;0,1,($E28-($F28+J$98-1))),0))</f>
        <v>0</v>
      </c>
      <c r="K119" s="196">
        <f>IF(AND(($E28-$F28)&gt;5,($K28-SUM($F119:$J119))&gt;0),IF($M28="Straight Line",(MAX((($K28/(1-($F28*$L28)))*(1-($L28*MIN($E28,1/$L28))))/((1+$K$271)^($E28-$F28-5)),0)),(MAX((($K28/(1-$L28)^$F28)*((1-$L28)^$E28))/((1+$K$271)^($E28-$F28-5)),0))),0)</f>
        <v>0</v>
      </c>
      <c r="L119" s="153">
        <f>IF(AND(($E28-$F28)&gt;5,($K28-SUM($F119:$J119))&gt;0),IF($M28="Straight Line",(-PV($K$271,(MIN($E28,1/$L28)-$F28-5),(($K28/(1-($F28*$L28)))*L28))),(-PV($K$271,($E28-$F28-5),(($K28-SUM($F119:$J119))*($L28*0.67))))),0)</f>
        <v>0</v>
      </c>
      <c r="M119" s="151"/>
      <c r="N119" s="151"/>
      <c r="O119" s="178"/>
      <c r="T119" s="139"/>
    </row>
    <row r="120" spans="2:20" ht="12.75" hidden="1">
      <c r="B120" s="150"/>
      <c r="C120" s="195">
        <f>C29</f>
        <v>0</v>
      </c>
      <c r="D120" s="192"/>
      <c r="E120" s="192"/>
      <c r="F120" s="153">
        <f>IF($M29="Straight Line",(IF(($K29/(1-($F29*$L29))*$L29)&gt;$K29,$K29,($K29/(1-($F29*$L29))*$L29))),$K29*$L29)*(MAX(IF(ROUNDDOWN(($E29-($F29+F$98-1)),0)&gt;0,1,($E29-($F29+F$98-1))),0))</f>
        <v>0</v>
      </c>
      <c r="G120" s="153">
        <f>IF($M29="Straight Line",(IF(($K29/(1-($F29*$L29))*$L29)&gt;($K29-SUM($F120:F120)),($K29-SUM($F120:F120)),($K29/(1-($F29*$L29))*$L29))),($K29-SUM($F120:F120))*$L29)*(MAX(IF(ROUNDDOWN(($E29-($F29+G$98-1)),0)&gt;0,1,($E29-($F29+G$98-1))),0))</f>
        <v>0</v>
      </c>
      <c r="H120" s="153">
        <f>IF($M29="Straight Line",(IF(($K29/(1-($F29*$L29))*$L29)&gt;($K29-SUM($F120:G120)),($K29-SUM($F120:G120)),($K29/(1-($F29*$L29))*$L29))),($K29-SUM($F120:G120))*$L29)*(MAX(IF(ROUNDDOWN(($E29-($F29+H$98-1)),0)&gt;0,1,($E29-($F29+H$98-1))),0))</f>
        <v>0</v>
      </c>
      <c r="I120" s="153">
        <f>IF($M29="Straight Line",(IF(($K29/(1-($F29*$L29))*$L29)&gt;($K29-SUM($F120:H120)),($K29-SUM($F120:H120)),($K29/(1-($F29*$L29))*$L29))),($K29-SUM($F120:H120))*$L29)*(MAX(IF(ROUNDDOWN(($E29-($F29+I$98-1)),0)&gt;0,1,($E29-($F29+I$98-1))),0))</f>
        <v>0</v>
      </c>
      <c r="J120" s="153">
        <f>IF($M29="Straight Line",(IF(($K29/(1-($F29*$L29))*$L29)&gt;($K29-SUM($F120:I120)),($K29-SUM($F120:I120)),($K29/(1-($F29*$L29))*$L29))),($K29-SUM($F120:I120))*$L29)*(MAX(IF(ROUNDDOWN(($E29-($F29+J$98-1)),0)&gt;0,1,($E29-($F29+J$98-1))),0))</f>
        <v>0</v>
      </c>
      <c r="K120" s="196">
        <f>IF(AND(($E29-$F29)&gt;5,($K29-SUM($F120:$J120))&gt;0),IF($M29="Straight Line",(MAX((($K29/(1-($F29*$L29)))*(1-($L29*MIN($E29,1/$L29))))/((1+$K$271)^($E29-$F29-5)),0)),(MAX((($K29/(1-$L29)^$F29)*((1-$L29)^$E29))/((1+$K$271)^($E29-$F29-5)),0))),0)</f>
        <v>0</v>
      </c>
      <c r="L120" s="153">
        <f>IF(AND(($E29-$F29)&gt;5,($K29-SUM($F120:$J120))&gt;0),IF($M29="Straight Line",(-PV($K$271,(MIN($E29,1/$L29)-$F29-5),(($K29/(1-($F29*$L29)))*L29))),(-PV($K$271,($E29-$F29-5),(($K29-SUM($F120:$J120))*($L29*0.67))))),0)</f>
        <v>0</v>
      </c>
      <c r="M120" s="151"/>
      <c r="N120" s="151"/>
      <c r="O120" s="178"/>
      <c r="T120" s="139"/>
    </row>
    <row r="121" spans="2:20" ht="12.75" hidden="1">
      <c r="B121" s="150"/>
      <c r="C121" s="192"/>
      <c r="D121" s="192"/>
      <c r="E121" s="192"/>
      <c r="F121" s="198">
        <f aca="true" t="shared" si="37" ref="F121:L121">SUM(F116:F120)</f>
        <v>0</v>
      </c>
      <c r="G121" s="198">
        <f t="shared" si="37"/>
        <v>0</v>
      </c>
      <c r="H121" s="198">
        <f t="shared" si="37"/>
        <v>0</v>
      </c>
      <c r="I121" s="198">
        <f t="shared" si="37"/>
        <v>0</v>
      </c>
      <c r="J121" s="198">
        <f t="shared" si="37"/>
        <v>0</v>
      </c>
      <c r="K121" s="199">
        <f t="shared" si="37"/>
        <v>0</v>
      </c>
      <c r="L121" s="198">
        <f t="shared" si="37"/>
        <v>0</v>
      </c>
      <c r="M121" s="151"/>
      <c r="N121" s="151"/>
      <c r="O121" s="178"/>
      <c r="T121" s="139"/>
    </row>
    <row r="122" spans="2:20" ht="12.75" hidden="1">
      <c r="B122" s="150"/>
      <c r="C122" s="192" t="s">
        <v>44</v>
      </c>
      <c r="D122" s="192"/>
      <c r="E122" s="192"/>
      <c r="F122" s="153"/>
      <c r="G122" s="153"/>
      <c r="H122" s="153"/>
      <c r="I122" s="153"/>
      <c r="J122" s="153"/>
      <c r="K122" s="151"/>
      <c r="L122" s="153"/>
      <c r="M122" s="151"/>
      <c r="N122" s="151"/>
      <c r="O122" s="178"/>
      <c r="T122" s="139"/>
    </row>
    <row r="123" spans="2:20" ht="12.75" hidden="1">
      <c r="B123" s="150"/>
      <c r="C123" s="192">
        <f>C33</f>
        <v>0</v>
      </c>
      <c r="D123" s="192"/>
      <c r="E123" s="192"/>
      <c r="F123" s="153">
        <f>IF(F$98&gt;=$F33,IF($M33="Straight Line",(IF((($G33*$L33))&gt;$G33,($G33),($G33*$L33))),($G33*$L33)),0)*(MAX(IF(ROUNDDOWN((($E33+$F33)-F$98),0)&gt;0,1,(($E33+$F33)-F$98)),0))</f>
        <v>0</v>
      </c>
      <c r="G123" s="153">
        <f>IF(G$98&gt;=$F33,IF($M33="Straight Line",(IF((SUM($F123:F123)+($G33*$L33))&gt;$G33,($G33-SUM($F123:F123)),($G33*$L33))),(($G33-SUM($F123:F123))*$L33)),0)*(MAX(IF(ROUNDDOWN((($E33+$F33)-G$98),0)&gt;0,1,(($E33+$F33)-G$98)),0))</f>
        <v>0</v>
      </c>
      <c r="H123" s="153">
        <f>IF(H$98&gt;=$F33,IF($M33="Straight Line",(IF((SUM($F123:G123)+($G33*$L33))&gt;$G33,($G33-SUM($F123:G123)),($G33*$L33))),(($G33-SUM($F123:G123))*$L33)),0)*(MAX(IF(ROUNDDOWN((($E33+$F33)-H$98),0)&gt;0,1,(($E33+$F33)-H$98)),0))</f>
        <v>0</v>
      </c>
      <c r="I123" s="153">
        <f>IF(I$98&gt;=$F33,IF($M33="Straight Line",(IF((SUM($F123:H123)+($G33*$L33))&gt;$G33,($G33-SUM($F123:H123)),($G33*$L33))),(($G33-SUM($F123:H123))*$L33)),0)*(MAX(IF(ROUNDDOWN((($E33+$F33)-I$98),0)&gt;0,1,(($E33+$F33)-I$98)),0))</f>
        <v>0</v>
      </c>
      <c r="J123" s="153">
        <f>IF(J$98&gt;=$F33,IF($M33="Straight Line",(IF((SUM($F123:I123)+($G33*$L33))&gt;$G33,($G33-SUM($F123:I123)),($G33*$L33))),(($G33-SUM($F123:I123))*$L33)),0)*(MAX(IF(ROUNDDOWN((($E33+$F33)-J$98),0)&gt;0,1,(($E33+$F33)-J$98)),0))</f>
        <v>0</v>
      </c>
      <c r="K123" s="196">
        <f>IF(AND(($E33+$F33-6)&gt;5,($G33-SUM($F123:$J123))&gt;0),IF($M33="Straight Line",(MAX(($G33*(1-($L33*$E33)))/((1+$K$271)^($E33+$F33-6)),0)),(MAX(($G33*((1-$L33)^$E33))/((1+$K$271)^($E33+$F33-6)),0))),0)</f>
        <v>0</v>
      </c>
      <c r="L123" s="153">
        <f>IF(AND(($E33+$F33-6)&gt;5,($G33-SUM($F123:$J123))&gt;0),IF($M33="Straight Line",(-PV($K$271,(MIN($E33,1/$L33)+$F33-6),($G33*$L33))),(-PV($K$271,($E33+$F33-6),(($G33-SUM($F123:$J123))*($L33*0.67))))),0)</f>
        <v>0</v>
      </c>
      <c r="M123" s="151"/>
      <c r="N123" s="151"/>
      <c r="O123" s="178"/>
      <c r="T123" s="139"/>
    </row>
    <row r="124" spans="2:20" ht="12.75" hidden="1">
      <c r="B124" s="150"/>
      <c r="C124" s="192">
        <f>C34</f>
        <v>0</v>
      </c>
      <c r="D124" s="192"/>
      <c r="E124" s="192"/>
      <c r="F124" s="153">
        <f>IF(F$98&gt;=$F34,IF($M34="Straight Line",(IF((($G34*$L34))&gt;$G34,($G34),($G34*$L34))),($G34*$L34)),0)*(MAX(IF(ROUNDDOWN((($E34+$F34)-F$98),0)&gt;0,1,(($E34+$F34)-F$98)),0))</f>
        <v>0</v>
      </c>
      <c r="G124" s="153">
        <f>IF(G$98&gt;=$F34,IF($M34="Straight Line",(IF((SUM($F124:F124)+($G34*$L34))&gt;$G34,($G34-SUM($F124:F124)),($G34*$L34))),(($G34-SUM($F124:F124))*$L34)),0)*(MAX(IF(ROUNDDOWN((($E34+$F34)-G$98),0)&gt;0,1,(($E34+$F34)-G$98)),0))</f>
        <v>0</v>
      </c>
      <c r="H124" s="153">
        <f>IF(H$98&gt;=$F34,IF($M34="Straight Line",(IF((SUM($F124:G124)+($G34*$L34))&gt;$G34,($G34-SUM($F124:G124)),($G34*$L34))),(($G34-SUM($F124:G124))*$L34)),0)*(MAX(IF(ROUNDDOWN((($E34+$F34)-H$98),0)&gt;0,1,(($E34+$F34)-H$98)),0))</f>
        <v>0</v>
      </c>
      <c r="I124" s="153">
        <f>IF(I$98&gt;=$F34,IF($M34="Straight Line",(IF((SUM($F124:H124)+($G34*$L34))&gt;$G34,($G34-SUM($F124:H124)),($G34*$L34))),(($G34-SUM($F124:H124))*$L34)),0)*(MAX(IF(ROUNDDOWN((($E34+$F34)-I$98),0)&gt;0,1,(($E34+$F34)-I$98)),0))</f>
        <v>0</v>
      </c>
      <c r="J124" s="153">
        <f>IF(J$98&gt;=$F34,IF($M34="Straight Line",(IF((SUM($F124:I124)+($G34*$L34))&gt;$G34,($G34-SUM($F124:I124)),($G34*$L34))),(($G34-SUM($F124:I124))*$L34)),0)*(MAX(IF(ROUNDDOWN((($E34+$F34)-J$98),0)&gt;0,1,(($E34+$F34)-J$98)),0))</f>
        <v>0</v>
      </c>
      <c r="K124" s="196">
        <f>IF(AND(($E34+$F34-6)&gt;5,($G34-SUM($F124:$J124))&gt;0),IF($M34="Straight Line",(MAX(($G34*(1-($L34*$E34)))/((1+$K$271)^($E34+$F34-6)),0)),(MAX(($G34*((1-$L34)^$E34))/((1+$K$271)^($E34+$F34-6)),0))),0)</f>
        <v>0</v>
      </c>
      <c r="L124" s="153">
        <f>IF(AND(($E34+$F34-6)&gt;5,($G34-SUM($F124:$J124))&gt;0),IF($M34="Straight Line",(-PV($K$271,(MIN($E34,1/$L34)+$F34-6),($G34*$L34))),(-PV($K$271,($E34+$F34-6),(($G34-SUM($F124:$J124))*($L34*0.67))))),0)</f>
        <v>0</v>
      </c>
      <c r="M124" s="151"/>
      <c r="N124" s="151"/>
      <c r="O124" s="178"/>
      <c r="T124" s="139"/>
    </row>
    <row r="125" spans="2:20" ht="12.75" hidden="1">
      <c r="B125" s="150"/>
      <c r="C125" s="192">
        <f>C35</f>
        <v>0</v>
      </c>
      <c r="D125" s="192"/>
      <c r="E125" s="192"/>
      <c r="F125" s="153">
        <f>IF(F$98&gt;=$F35,IF($M35="Straight Line",(IF((($G35*$L35))&gt;$G35,($G35),($G35*$L35))),($G35*$L35)),0)*(MAX(IF(ROUNDDOWN((($E35+$F35)-F$98),0)&gt;0,1,(($E35+$F35)-F$98)),0))</f>
        <v>0</v>
      </c>
      <c r="G125" s="153">
        <f>IF(G$98&gt;=$F35,IF($M35="Straight Line",(IF((SUM($F125:F125)+($G35*$L35))&gt;$G35,($G35-SUM($F125:F125)),($G35*$L35))),(($G35-SUM($F125:F125))*$L35)),0)*(MAX(IF(ROUNDDOWN((($E35+$F35)-G$98),0)&gt;0,1,(($E35+$F35)-G$98)),0))</f>
        <v>0</v>
      </c>
      <c r="H125" s="153">
        <f>IF(H$98&gt;=$F35,IF($M35="Straight Line",(IF((SUM($F125:G125)+($G35*$L35))&gt;$G35,($G35-SUM($F125:G125)),($G35*$L35))),(($G35-SUM($F125:G125))*$L35)),0)*(MAX(IF(ROUNDDOWN((($E35+$F35)-H$98),0)&gt;0,1,(($E35+$F35)-H$98)),0))</f>
        <v>0</v>
      </c>
      <c r="I125" s="153">
        <f>IF(I$98&gt;=$F35,IF($M35="Straight Line",(IF((SUM($F125:H125)+($G35*$L35))&gt;$G35,($G35-SUM($F125:H125)),($G35*$L35))),(($G35-SUM($F125:H125))*$L35)),0)*(MAX(IF(ROUNDDOWN((($E35+$F35)-I$98),0)&gt;0,1,(($E35+$F35)-I$98)),0))</f>
        <v>0</v>
      </c>
      <c r="J125" s="153">
        <f>IF(J$98&gt;=$F35,IF($M35="Straight Line",(IF((SUM($F125:I125)+($G35*$L35))&gt;$G35,($G35-SUM($F125:I125)),($G35*$L35))),(($G35-SUM($F125:I125))*$L35)),0)*(MAX(IF(ROUNDDOWN((($E35+$F35)-J$98),0)&gt;0,1,(($E35+$F35)-J$98)),0))</f>
        <v>0</v>
      </c>
      <c r="K125" s="196">
        <f>IF(AND(($E35+$F35-6)&gt;5,($G35-SUM($F125:$J125))&gt;0),IF($M35="Straight Line",(MAX(($G35*(1-($L35*$E35)))/((1+$K$271)^($E35+$F35-6)),0)),(MAX(($G35*((1-$L35)^$E35))/((1+$K$271)^($E35+$F35-6)),0))),0)</f>
        <v>0</v>
      </c>
      <c r="L125" s="153">
        <f>IF(AND(($E35+$F35-6)&gt;5,($G35-SUM($F125:$J125))&gt;0),IF($M35="Straight Line",(-PV($K$271,(MIN($E35,1/$L35)+$F35-6),($G35*$L35))),(-PV($K$271,($E35+$F35-6),(($G35-SUM($F125:$J125))*($L35*0.67))))),0)</f>
        <v>0</v>
      </c>
      <c r="M125" s="151"/>
      <c r="N125" s="151"/>
      <c r="O125" s="178"/>
      <c r="T125" s="139"/>
    </row>
    <row r="126" spans="2:20" ht="12.75" hidden="1">
      <c r="B126" s="150"/>
      <c r="C126" s="192">
        <f>C36</f>
        <v>0</v>
      </c>
      <c r="D126" s="192"/>
      <c r="E126" s="192"/>
      <c r="F126" s="153">
        <f>IF(F$98&gt;=$F36,IF($M36="Straight Line",(IF((($G36*$L36))&gt;$G36,($G36),($G36*$L36))),($G36*$L36)),0)*(MAX(IF(ROUNDDOWN((($E36+$F36)-F$98),0)&gt;0,1,(($E36+$F36)-F$98)),0))</f>
        <v>0</v>
      </c>
      <c r="G126" s="153">
        <f>IF(G$98&gt;=$F36,IF($M36="Straight Line",(IF((SUM($F126:F126)+($G36*$L36))&gt;$G36,($G36-SUM($F126:F126)),($G36*$L36))),(($G36-SUM($F126:F126))*$L36)),0)*(MAX(IF(ROUNDDOWN((($E36+$F36)-G$98),0)&gt;0,1,(($E36+$F36)-G$98)),0))</f>
        <v>0</v>
      </c>
      <c r="H126" s="153">
        <f>IF(H$98&gt;=$F36,IF($M36="Straight Line",(IF((SUM($F126:G126)+($G36*$L36))&gt;$G36,($G36-SUM($F126:G126)),($G36*$L36))),(($G36-SUM($F126:G126))*$L36)),0)*(MAX(IF(ROUNDDOWN((($E36+$F36)-H$98),0)&gt;0,1,(($E36+$F36)-H$98)),0))</f>
        <v>0</v>
      </c>
      <c r="I126" s="153">
        <f>IF(I$98&gt;=$F36,IF($M36="Straight Line",(IF((SUM($F126:H126)+($G36*$L36))&gt;$G36,($G36-SUM($F126:H126)),($G36*$L36))),(($G36-SUM($F126:H126))*$L36)),0)*(MAX(IF(ROUNDDOWN((($E36+$F36)-I$98),0)&gt;0,1,(($E36+$F36)-I$98)),0))</f>
        <v>0</v>
      </c>
      <c r="J126" s="153">
        <f>IF(J$98&gt;=$F36,IF($M36="Straight Line",(IF((SUM($F126:I126)+($G36*$L36))&gt;$G36,($G36-SUM($F126:I126)),($G36*$L36))),(($G36-SUM($F126:I126))*$L36)),0)*(MAX(IF(ROUNDDOWN((($E36+$F36)-J$98),0)&gt;0,1,(($E36+$F36)-J$98)),0))</f>
        <v>0</v>
      </c>
      <c r="K126" s="196">
        <f>IF(AND(($E36+$F36-6)&gt;5,($G36-SUM($F126:$J126))&gt;0),IF($M36="Straight Line",(MAX(($G36*(1-($L36*$E36)))/((1+$K$271)^($E36+$F36-6)),0)),(MAX(($G36*((1-$L36)^$E36))/((1+$K$271)^($E36+$F36-6)),0))),0)</f>
        <v>0</v>
      </c>
      <c r="L126" s="153">
        <f>IF(AND(($E36+$F36-6)&gt;5,($G36-SUM($F126:$J126))&gt;0),IF($M36="Straight Line",(-PV($K$271,(MIN($E36,1/$L36)+$F36-6),($G36*$L36))),(-PV($K$271,($E36+$F36-6),(($G36-SUM($F126:$J126))*($L36*0.67))))),0)</f>
        <v>0</v>
      </c>
      <c r="M126" s="151"/>
      <c r="N126" s="151"/>
      <c r="O126" s="178"/>
      <c r="T126" s="139"/>
    </row>
    <row r="127" spans="2:20" ht="12.75" hidden="1">
      <c r="B127" s="150"/>
      <c r="C127" s="192">
        <f>C37</f>
        <v>0</v>
      </c>
      <c r="D127" s="192"/>
      <c r="E127" s="192"/>
      <c r="F127" s="153">
        <f>IF(F$98&gt;=$F37,IF($M37="Straight Line",(IF((($G37*$L37))&gt;$G37,($G37),($G37*$L37))),($G37*$L37)),0)*(MAX(IF(ROUNDDOWN((($E37+$F37)-F$98),0)&gt;0,1,(($E37+$F37)-F$98)),0))</f>
        <v>0</v>
      </c>
      <c r="G127" s="153">
        <f>IF(G$98&gt;=$F37,IF($M37="Straight Line",(IF((SUM($F127:F127)+($G37*$L37))&gt;$G37,($G37-SUM($F127:F127)),($G37*$L37))),(($G37-SUM($F127:F127))*$L37)),0)*(MAX(IF(ROUNDDOWN((($E37+$F37)-G$98),0)&gt;0,1,(($E37+$F37)-G$98)),0))</f>
        <v>0</v>
      </c>
      <c r="H127" s="153">
        <f>IF(H$98&gt;=$F37,IF($M37="Straight Line",(IF((SUM($F127:G127)+($G37*$L37))&gt;$G37,($G37-SUM($F127:G127)),($G37*$L37))),(($G37-SUM($F127:G127))*$L37)),0)*(MAX(IF(ROUNDDOWN((($E37+$F37)-H$98),0)&gt;0,1,(($E37+$F37)-H$98)),0))</f>
        <v>0</v>
      </c>
      <c r="I127" s="153">
        <f>IF(I$98&gt;=$F37,IF($M37="Straight Line",(IF((SUM($F127:H127)+($G37*$L37))&gt;$G37,($G37-SUM($F127:H127)),($G37*$L37))),(($G37-SUM($F127:H127))*$L37)),0)*(MAX(IF(ROUNDDOWN((($E37+$F37)-I$98),0)&gt;0,1,(($E37+$F37)-I$98)),0))</f>
        <v>0</v>
      </c>
      <c r="J127" s="153">
        <f>IF(J$98&gt;=$F37,IF($M37="Straight Line",(IF((SUM($F127:I127)+($G37*$L37))&gt;$G37,($G37-SUM($F127:I127)),($G37*$L37))),(($G37-SUM($F127:I127))*$L37)),0)*(MAX(IF(ROUNDDOWN((($E37+$F37)-J$98),0)&gt;0,1,(($E37+$F37)-J$98)),0))</f>
        <v>0</v>
      </c>
      <c r="K127" s="196">
        <f>IF(AND(($E37+$F37-6)&gt;5,($G37-SUM($F127:$J127))&gt;0),IF($M37="Straight Line",(MAX(($G37*(1-($L37*$E37)))/((1+$K$271)^($E37+$F37-6)),0)),(MAX(($G37*((1-$L37)^$E37))/((1+$K$271)^($E37+$F37-6)),0))),0)</f>
        <v>0</v>
      </c>
      <c r="L127" s="153">
        <f>IF(AND(($E37+$F37-6)&gt;5,($G37-SUM($F127:$J127))&gt;0),IF($M37="Straight Line",(-PV($K$271,(MIN($E37,1/$L37)+$F37-6),($G37*$L37))),(-PV($K$271,($E37+$F37-6),(($G37-SUM($F127:$J127))*($L37*0.67))))),0)</f>
        <v>0</v>
      </c>
      <c r="M127" s="151"/>
      <c r="N127" s="151"/>
      <c r="O127" s="178"/>
      <c r="T127" s="139"/>
    </row>
    <row r="128" spans="2:20" ht="12.75" hidden="1">
      <c r="B128" s="150"/>
      <c r="C128" s="192"/>
      <c r="D128" s="192"/>
      <c r="E128" s="192"/>
      <c r="F128" s="198">
        <f aca="true" t="shared" si="38" ref="F128:L128">SUM(F123:F127)</f>
        <v>0</v>
      </c>
      <c r="G128" s="198">
        <f t="shared" si="38"/>
        <v>0</v>
      </c>
      <c r="H128" s="198">
        <f t="shared" si="38"/>
        <v>0</v>
      </c>
      <c r="I128" s="198">
        <f t="shared" si="38"/>
        <v>0</v>
      </c>
      <c r="J128" s="198">
        <f t="shared" si="38"/>
        <v>0</v>
      </c>
      <c r="K128" s="199">
        <f t="shared" si="38"/>
        <v>0</v>
      </c>
      <c r="L128" s="198">
        <f t="shared" si="38"/>
        <v>0</v>
      </c>
      <c r="M128" s="151"/>
      <c r="N128" s="151"/>
      <c r="O128" s="178"/>
      <c r="T128" s="139"/>
    </row>
    <row r="129" spans="2:20" ht="4.5" customHeight="1" hidden="1">
      <c r="B129" s="150"/>
      <c r="C129" s="192"/>
      <c r="D129" s="192"/>
      <c r="E129" s="192"/>
      <c r="F129" s="153"/>
      <c r="G129" s="153"/>
      <c r="H129" s="153"/>
      <c r="I129" s="153"/>
      <c r="J129" s="153"/>
      <c r="K129" s="153"/>
      <c r="L129" s="153"/>
      <c r="M129" s="151"/>
      <c r="N129" s="151"/>
      <c r="O129" s="178"/>
      <c r="T129" s="139"/>
    </row>
    <row r="130" spans="2:20" ht="12" customHeight="1" hidden="1" thickBot="1">
      <c r="B130" s="150"/>
      <c r="C130" s="202" t="s">
        <v>121</v>
      </c>
      <c r="D130" s="192"/>
      <c r="E130" s="192"/>
      <c r="F130" s="203">
        <f aca="true" t="shared" si="39" ref="F130:L130">F121+F128</f>
        <v>0</v>
      </c>
      <c r="G130" s="203">
        <f t="shared" si="39"/>
        <v>0</v>
      </c>
      <c r="H130" s="203">
        <f t="shared" si="39"/>
        <v>0</v>
      </c>
      <c r="I130" s="203">
        <f t="shared" si="39"/>
        <v>0</v>
      </c>
      <c r="J130" s="203">
        <f t="shared" si="39"/>
        <v>0</v>
      </c>
      <c r="K130" s="204">
        <f t="shared" si="39"/>
        <v>0</v>
      </c>
      <c r="L130" s="203">
        <f t="shared" si="39"/>
        <v>0</v>
      </c>
      <c r="M130" s="151"/>
      <c r="N130" s="151"/>
      <c r="O130" s="178"/>
      <c r="T130" s="139"/>
    </row>
    <row r="131" spans="2:20" ht="6" customHeight="1" hidden="1">
      <c r="B131" s="206"/>
      <c r="C131" s="207"/>
      <c r="D131" s="207"/>
      <c r="E131" s="207"/>
      <c r="F131" s="184"/>
      <c r="G131" s="184"/>
      <c r="H131" s="184"/>
      <c r="I131" s="184"/>
      <c r="J131" s="184"/>
      <c r="K131" s="184"/>
      <c r="L131" s="184"/>
      <c r="M131" s="183"/>
      <c r="N131" s="183"/>
      <c r="O131" s="185"/>
      <c r="T131" s="139"/>
    </row>
    <row r="132" spans="2:20" ht="6" customHeight="1" hidden="1">
      <c r="B132" s="143"/>
      <c r="C132" s="208"/>
      <c r="D132" s="208"/>
      <c r="E132" s="208"/>
      <c r="F132" s="153"/>
      <c r="G132" s="153"/>
      <c r="H132" s="153"/>
      <c r="I132" s="153"/>
      <c r="J132" s="153"/>
      <c r="K132" s="153"/>
      <c r="L132" s="153"/>
      <c r="M132" s="143"/>
      <c r="N132" s="143"/>
      <c r="O132" s="143"/>
      <c r="T132" s="139"/>
    </row>
    <row r="133" spans="2:20" ht="16.5" customHeight="1" collapsed="1">
      <c r="B133" s="189"/>
      <c r="C133" s="146" t="s">
        <v>75</v>
      </c>
      <c r="D133" s="191"/>
      <c r="E133" s="191"/>
      <c r="F133" s="190"/>
      <c r="G133" s="190"/>
      <c r="H133" s="190"/>
      <c r="I133" s="190"/>
      <c r="J133" s="190"/>
      <c r="K133" s="190"/>
      <c r="L133" s="190"/>
      <c r="M133" s="147"/>
      <c r="N133" s="147"/>
      <c r="O133" s="176"/>
      <c r="T133" s="139" t="b">
        <v>0</v>
      </c>
    </row>
    <row r="134" spans="2:20" ht="12.75" hidden="1">
      <c r="B134" s="150"/>
      <c r="C134" s="192" t="s">
        <v>123</v>
      </c>
      <c r="D134" s="192"/>
      <c r="E134" s="192"/>
      <c r="F134" s="164">
        <f>F5</f>
        <v>2011</v>
      </c>
      <c r="G134" s="164">
        <f>G5</f>
        <v>2012</v>
      </c>
      <c r="H134" s="164">
        <f>H5</f>
        <v>2013</v>
      </c>
      <c r="I134" s="164">
        <f>I5</f>
        <v>2014</v>
      </c>
      <c r="J134" s="164">
        <f>J5</f>
        <v>2015</v>
      </c>
      <c r="K134" s="209" t="s">
        <v>45</v>
      </c>
      <c r="L134" s="151"/>
      <c r="M134" s="151"/>
      <c r="N134" s="151"/>
      <c r="O134" s="178"/>
      <c r="T134" s="139"/>
    </row>
    <row r="135" spans="2:20" ht="12.75" hidden="1">
      <c r="B135" s="150"/>
      <c r="C135" s="192">
        <f>C25</f>
        <v>0</v>
      </c>
      <c r="D135" s="192"/>
      <c r="E135" s="192"/>
      <c r="F135" s="153">
        <f aca="true" t="shared" si="40" ref="F135:J139">IF(ROUNDDOWN(($E25-$F25+1),0)=F$98,IF($J25="Straight Line",(($H25/(1-($F25*$I25)))*$G25),(($H25/(1-$I25)^$F25)*$G25)),0)</f>
        <v>0</v>
      </c>
      <c r="G135" s="153">
        <f t="shared" si="40"/>
        <v>0</v>
      </c>
      <c r="H135" s="153">
        <f t="shared" si="40"/>
        <v>0</v>
      </c>
      <c r="I135" s="153">
        <f t="shared" si="40"/>
        <v>0</v>
      </c>
      <c r="J135" s="153">
        <f t="shared" si="40"/>
        <v>0</v>
      </c>
      <c r="K135" s="196">
        <f>IF(ROUNDDOWN(($E25-$F25+1),0)&gt;5,IF($J25="Straight Line",((($H25/(1-($F25*$I25)))*$G25)/(1+K271)^($E25-$F25-4)),((($H25/(1-$I25)^$F25)*$G25)/(1+K271)^($E25-$F25-4))),0)</f>
        <v>0</v>
      </c>
      <c r="L135" s="151"/>
      <c r="M135" s="151"/>
      <c r="N135" s="151"/>
      <c r="O135" s="178"/>
      <c r="T135" s="139"/>
    </row>
    <row r="136" spans="2:20" ht="12.75" hidden="1">
      <c r="B136" s="150"/>
      <c r="C136" s="192">
        <f>C26</f>
        <v>0</v>
      </c>
      <c r="D136" s="192"/>
      <c r="E136" s="192"/>
      <c r="F136" s="153">
        <f t="shared" si="40"/>
        <v>0</v>
      </c>
      <c r="G136" s="153">
        <f t="shared" si="40"/>
        <v>0</v>
      </c>
      <c r="H136" s="153">
        <f t="shared" si="40"/>
        <v>0</v>
      </c>
      <c r="I136" s="153">
        <f t="shared" si="40"/>
        <v>0</v>
      </c>
      <c r="J136" s="153">
        <f t="shared" si="40"/>
        <v>0</v>
      </c>
      <c r="K136" s="196">
        <f>IF(ROUNDDOWN(($E26-$F26+1),0)&gt;5,IF($J26="Straight Line",((($H26/(1-($F26*$I26)))*$G26)/(1+K271)^($E26-$F26-4)),((($H26/(1-$I26)^$F26)*$G26)/(1+K271)^($E26-$F26-4))),0)</f>
        <v>0</v>
      </c>
      <c r="L136" s="151"/>
      <c r="M136" s="151"/>
      <c r="N136" s="151"/>
      <c r="O136" s="178"/>
      <c r="T136" s="139"/>
    </row>
    <row r="137" spans="2:20" ht="12.75" hidden="1">
      <c r="B137" s="150"/>
      <c r="C137" s="192">
        <f>C27</f>
        <v>0</v>
      </c>
      <c r="D137" s="192"/>
      <c r="E137" s="192"/>
      <c r="F137" s="153">
        <f t="shared" si="40"/>
        <v>0</v>
      </c>
      <c r="G137" s="153">
        <f t="shared" si="40"/>
        <v>0</v>
      </c>
      <c r="H137" s="153">
        <f t="shared" si="40"/>
        <v>0</v>
      </c>
      <c r="I137" s="153">
        <f t="shared" si="40"/>
        <v>0</v>
      </c>
      <c r="J137" s="153">
        <f t="shared" si="40"/>
        <v>0</v>
      </c>
      <c r="K137" s="196">
        <f>IF(ROUNDDOWN(($E27-$F27+1),0)&gt;5,IF($J27="Straight Line",((($H27/(1-($F27*$I27)))*$G27)/(1+K271)^($E27-$F27-4)),((($H27/(1-$I27)^$F27)*$G27)/(1+K271)^($E27-$F27-4))),0)</f>
        <v>0</v>
      </c>
      <c r="L137" s="151"/>
      <c r="M137" s="151"/>
      <c r="N137" s="151"/>
      <c r="O137" s="178"/>
      <c r="T137" s="139"/>
    </row>
    <row r="138" spans="2:20" ht="12.75" hidden="1">
      <c r="B138" s="150"/>
      <c r="C138" s="192">
        <f>C28</f>
        <v>0</v>
      </c>
      <c r="D138" s="192"/>
      <c r="E138" s="192"/>
      <c r="F138" s="153">
        <f t="shared" si="40"/>
        <v>0</v>
      </c>
      <c r="G138" s="153">
        <f t="shared" si="40"/>
        <v>0</v>
      </c>
      <c r="H138" s="153">
        <f t="shared" si="40"/>
        <v>0</v>
      </c>
      <c r="I138" s="153">
        <f t="shared" si="40"/>
        <v>0</v>
      </c>
      <c r="J138" s="153">
        <f t="shared" si="40"/>
        <v>0</v>
      </c>
      <c r="K138" s="196">
        <f>IF(ROUNDDOWN(($E28-$F28+1),0)&gt;5,IF($J28="Straight Line",((($H28/(1-($F28*$I28)))*$G28)/(1+K271)^($E28-$F28-4)),((($H28/(1-$I28)^$F28)*$G28)/(1+K271)^($E28-$F28-4))),0)</f>
        <v>0</v>
      </c>
      <c r="L138" s="151"/>
      <c r="M138" s="151"/>
      <c r="N138" s="151"/>
      <c r="O138" s="178"/>
      <c r="T138" s="139"/>
    </row>
    <row r="139" spans="2:20" ht="12.75" hidden="1">
      <c r="B139" s="150"/>
      <c r="C139" s="192">
        <f>C29</f>
        <v>0</v>
      </c>
      <c r="D139" s="192"/>
      <c r="E139" s="192"/>
      <c r="F139" s="153">
        <f t="shared" si="40"/>
        <v>0</v>
      </c>
      <c r="G139" s="153">
        <f t="shared" si="40"/>
        <v>0</v>
      </c>
      <c r="H139" s="153">
        <f t="shared" si="40"/>
        <v>0</v>
      </c>
      <c r="I139" s="153">
        <f t="shared" si="40"/>
        <v>0</v>
      </c>
      <c r="J139" s="153">
        <f t="shared" si="40"/>
        <v>0</v>
      </c>
      <c r="K139" s="196">
        <f>IF(ROUNDDOWN(($E29-$F29+1),0)&gt;5,IF($J29="Straight Line",((($H29/(1-($F29*$I29)))*$G29)/(1+K271)^($E29-$F29-4)),((($H29/(1-$I29)^$F29)*$G29)/(1+K271)^($E29-$F29-4))),0)</f>
        <v>0</v>
      </c>
      <c r="L139" s="151"/>
      <c r="M139" s="151"/>
      <c r="N139" s="151"/>
      <c r="O139" s="178"/>
      <c r="T139" s="139"/>
    </row>
    <row r="140" spans="2:20" ht="12.75" hidden="1">
      <c r="B140" s="150"/>
      <c r="C140" s="192"/>
      <c r="D140" s="192"/>
      <c r="E140" s="192"/>
      <c r="F140" s="198">
        <f aca="true" t="shared" si="41" ref="F140:K140">SUM(F135:F139)</f>
        <v>0</v>
      </c>
      <c r="G140" s="198">
        <f t="shared" si="41"/>
        <v>0</v>
      </c>
      <c r="H140" s="198">
        <f t="shared" si="41"/>
        <v>0</v>
      </c>
      <c r="I140" s="198">
        <f t="shared" si="41"/>
        <v>0</v>
      </c>
      <c r="J140" s="198">
        <f t="shared" si="41"/>
        <v>0</v>
      </c>
      <c r="K140" s="199">
        <f t="shared" si="41"/>
        <v>0</v>
      </c>
      <c r="L140" s="151"/>
      <c r="M140" s="151"/>
      <c r="N140" s="151"/>
      <c r="O140" s="178"/>
      <c r="T140" s="139"/>
    </row>
    <row r="141" spans="2:20" ht="12.75" hidden="1">
      <c r="B141" s="150"/>
      <c r="C141" s="192" t="s">
        <v>124</v>
      </c>
      <c r="D141" s="192"/>
      <c r="E141" s="192"/>
      <c r="F141" s="153"/>
      <c r="G141" s="153"/>
      <c r="H141" s="153"/>
      <c r="I141" s="153"/>
      <c r="J141" s="153"/>
      <c r="K141" s="151"/>
      <c r="L141" s="151"/>
      <c r="M141" s="151"/>
      <c r="N141" s="151"/>
      <c r="O141" s="178"/>
      <c r="T141" s="139"/>
    </row>
    <row r="142" spans="2:20" ht="12.75" hidden="1">
      <c r="B142" s="150"/>
      <c r="C142" s="192">
        <f>C33</f>
        <v>0</v>
      </c>
      <c r="D142" s="192"/>
      <c r="E142" s="192"/>
      <c r="F142" s="153">
        <f aca="true" t="shared" si="42" ref="F142:J146">IF(ROUNDDOWN(($F33+$E33-1),0)=F$98,($I33*$G33),0)</f>
        <v>0</v>
      </c>
      <c r="G142" s="153">
        <f t="shared" si="42"/>
        <v>0</v>
      </c>
      <c r="H142" s="153">
        <f t="shared" si="42"/>
        <v>0</v>
      </c>
      <c r="I142" s="153">
        <f t="shared" si="42"/>
        <v>0</v>
      </c>
      <c r="J142" s="153">
        <f t="shared" si="42"/>
        <v>0</v>
      </c>
      <c r="K142" s="196">
        <f>IF(ROUNDDOWN(($F33+$E33-1),0)&gt;5,(($I33*$G33/(1+K271)^($F33+$E33-6))),0)</f>
        <v>0</v>
      </c>
      <c r="L142" s="151"/>
      <c r="M142" s="151"/>
      <c r="N142" s="151"/>
      <c r="O142" s="178"/>
      <c r="T142" s="139"/>
    </row>
    <row r="143" spans="2:20" ht="12.75" hidden="1">
      <c r="B143" s="150"/>
      <c r="C143" s="192">
        <f>C34</f>
        <v>0</v>
      </c>
      <c r="D143" s="192"/>
      <c r="E143" s="192"/>
      <c r="F143" s="153">
        <f t="shared" si="42"/>
        <v>0</v>
      </c>
      <c r="G143" s="153">
        <f t="shared" si="42"/>
        <v>0</v>
      </c>
      <c r="H143" s="153">
        <f t="shared" si="42"/>
        <v>0</v>
      </c>
      <c r="I143" s="153">
        <f t="shared" si="42"/>
        <v>0</v>
      </c>
      <c r="J143" s="153">
        <f t="shared" si="42"/>
        <v>0</v>
      </c>
      <c r="K143" s="196">
        <f>IF(ROUNDDOWN(($F34+$E34-1),0)&gt;5,(($I34*$G34/(1+K272)^($F34+$E34-6))),0)</f>
        <v>0</v>
      </c>
      <c r="L143" s="151"/>
      <c r="M143" s="151"/>
      <c r="N143" s="151"/>
      <c r="O143" s="178"/>
      <c r="T143" s="139"/>
    </row>
    <row r="144" spans="2:20" ht="12.75" hidden="1">
      <c r="B144" s="150"/>
      <c r="C144" s="192">
        <f>C35</f>
        <v>0</v>
      </c>
      <c r="D144" s="192"/>
      <c r="E144" s="192"/>
      <c r="F144" s="153">
        <f t="shared" si="42"/>
        <v>0</v>
      </c>
      <c r="G144" s="153">
        <f t="shared" si="42"/>
        <v>0</v>
      </c>
      <c r="H144" s="153">
        <f t="shared" si="42"/>
        <v>0</v>
      </c>
      <c r="I144" s="153">
        <f t="shared" si="42"/>
        <v>0</v>
      </c>
      <c r="J144" s="153">
        <f t="shared" si="42"/>
        <v>0</v>
      </c>
      <c r="K144" s="196">
        <f>IF(ROUNDDOWN(($F35+$E35-1),0)&gt;5,(($I35*$G35/(1+K273)^($F35+$E35-6))),0)</f>
        <v>0</v>
      </c>
      <c r="L144" s="151"/>
      <c r="M144" s="151"/>
      <c r="N144" s="151"/>
      <c r="O144" s="178"/>
      <c r="T144" s="139"/>
    </row>
    <row r="145" spans="2:20" ht="12.75" hidden="1">
      <c r="B145" s="150"/>
      <c r="C145" s="192">
        <f>C36</f>
        <v>0</v>
      </c>
      <c r="D145" s="192"/>
      <c r="E145" s="192"/>
      <c r="F145" s="153">
        <f t="shared" si="42"/>
        <v>0</v>
      </c>
      <c r="G145" s="153">
        <f t="shared" si="42"/>
        <v>0</v>
      </c>
      <c r="H145" s="153">
        <f t="shared" si="42"/>
        <v>0</v>
      </c>
      <c r="I145" s="153">
        <f t="shared" si="42"/>
        <v>0</v>
      </c>
      <c r="J145" s="153">
        <f t="shared" si="42"/>
        <v>0</v>
      </c>
      <c r="K145" s="196">
        <f>IF(ROUNDDOWN(($F36+$E36-1),0)&gt;5,(($I36*$G36/(1+K274)^($F36+$E36-6))),0)</f>
        <v>0</v>
      </c>
      <c r="L145" s="151"/>
      <c r="M145" s="151"/>
      <c r="N145" s="151"/>
      <c r="O145" s="178"/>
      <c r="T145" s="139"/>
    </row>
    <row r="146" spans="2:20" ht="12.75" hidden="1">
      <c r="B146" s="150"/>
      <c r="C146" s="192">
        <f>C37</f>
        <v>0</v>
      </c>
      <c r="D146" s="192"/>
      <c r="E146" s="192"/>
      <c r="F146" s="153">
        <f t="shared" si="42"/>
        <v>0</v>
      </c>
      <c r="G146" s="153">
        <f t="shared" si="42"/>
        <v>0</v>
      </c>
      <c r="H146" s="153">
        <f t="shared" si="42"/>
        <v>0</v>
      </c>
      <c r="I146" s="153">
        <f t="shared" si="42"/>
        <v>0</v>
      </c>
      <c r="J146" s="153">
        <f t="shared" si="42"/>
        <v>0</v>
      </c>
      <c r="K146" s="196">
        <f>IF(ROUNDDOWN(($F37+$E37-1),0)&gt;5,(($I37*$G37/(1+K275)^($F37+$E37-6))),0)</f>
        <v>0</v>
      </c>
      <c r="L146" s="151"/>
      <c r="M146" s="151"/>
      <c r="N146" s="151"/>
      <c r="O146" s="178"/>
      <c r="T146" s="139"/>
    </row>
    <row r="147" spans="2:20" ht="12.75" hidden="1">
      <c r="B147" s="150"/>
      <c r="C147" s="192"/>
      <c r="D147" s="192"/>
      <c r="E147" s="192"/>
      <c r="F147" s="198">
        <f aca="true" t="shared" si="43" ref="F147:K147">SUM(F142:F146)</f>
        <v>0</v>
      </c>
      <c r="G147" s="198">
        <f t="shared" si="43"/>
        <v>0</v>
      </c>
      <c r="H147" s="198">
        <f t="shared" si="43"/>
        <v>0</v>
      </c>
      <c r="I147" s="198">
        <f t="shared" si="43"/>
        <v>0</v>
      </c>
      <c r="J147" s="198">
        <f t="shared" si="43"/>
        <v>0</v>
      </c>
      <c r="K147" s="199">
        <f t="shared" si="43"/>
        <v>0</v>
      </c>
      <c r="L147" s="151"/>
      <c r="M147" s="151"/>
      <c r="N147" s="151"/>
      <c r="O147" s="178"/>
      <c r="T147" s="139"/>
    </row>
    <row r="148" spans="2:20" ht="4.5" customHeight="1" hidden="1">
      <c r="B148" s="150"/>
      <c r="C148" s="192"/>
      <c r="D148" s="192"/>
      <c r="E148" s="192"/>
      <c r="F148" s="153"/>
      <c r="G148" s="153"/>
      <c r="H148" s="153"/>
      <c r="I148" s="153"/>
      <c r="J148" s="153"/>
      <c r="K148" s="153"/>
      <c r="L148" s="151"/>
      <c r="M148" s="151"/>
      <c r="N148" s="151"/>
      <c r="O148" s="178"/>
      <c r="T148" s="139"/>
    </row>
    <row r="149" spans="2:20" ht="13.5" hidden="1" thickBot="1">
      <c r="B149" s="150"/>
      <c r="C149" s="202" t="s">
        <v>122</v>
      </c>
      <c r="D149" s="192"/>
      <c r="E149" s="192"/>
      <c r="F149" s="203">
        <f aca="true" t="shared" si="44" ref="F149:K149">F140+F147</f>
        <v>0</v>
      </c>
      <c r="G149" s="203">
        <f t="shared" si="44"/>
        <v>0</v>
      </c>
      <c r="H149" s="203">
        <f t="shared" si="44"/>
        <v>0</v>
      </c>
      <c r="I149" s="203">
        <f t="shared" si="44"/>
        <v>0</v>
      </c>
      <c r="J149" s="203">
        <f t="shared" si="44"/>
        <v>0</v>
      </c>
      <c r="K149" s="204">
        <f t="shared" si="44"/>
        <v>0</v>
      </c>
      <c r="L149" s="151"/>
      <c r="M149" s="151"/>
      <c r="N149" s="151"/>
      <c r="O149" s="178"/>
      <c r="T149" s="139"/>
    </row>
    <row r="150" spans="2:20" ht="5.25" customHeight="1" hidden="1">
      <c r="B150" s="150"/>
      <c r="C150" s="192"/>
      <c r="D150" s="192"/>
      <c r="E150" s="192"/>
      <c r="F150" s="192"/>
      <c r="G150" s="192"/>
      <c r="H150" s="192"/>
      <c r="I150" s="192"/>
      <c r="J150" s="192"/>
      <c r="K150" s="192"/>
      <c r="L150" s="192"/>
      <c r="M150" s="151"/>
      <c r="N150" s="151"/>
      <c r="O150" s="178"/>
      <c r="T150" s="139"/>
    </row>
    <row r="151" spans="2:20" ht="12.75" hidden="1">
      <c r="B151" s="150"/>
      <c r="C151" s="192" t="s">
        <v>76</v>
      </c>
      <c r="D151" s="192"/>
      <c r="E151" s="192"/>
      <c r="F151" s="192"/>
      <c r="G151" s="192"/>
      <c r="H151" s="192"/>
      <c r="I151" s="192"/>
      <c r="J151" s="192"/>
      <c r="K151" s="209" t="s">
        <v>45</v>
      </c>
      <c r="L151" s="194"/>
      <c r="M151" s="151"/>
      <c r="N151" s="151"/>
      <c r="O151" s="178"/>
      <c r="T151" s="139"/>
    </row>
    <row r="152" spans="2:20" ht="12.75" hidden="1">
      <c r="B152" s="150"/>
      <c r="C152" s="192">
        <f>C25</f>
        <v>0</v>
      </c>
      <c r="D152" s="192"/>
      <c r="E152" s="192"/>
      <c r="F152" s="153">
        <f>IF(F135&lt;&gt;0,(F135-($K25-SUM($F116:F116))),0)</f>
        <v>0</v>
      </c>
      <c r="G152" s="153">
        <f>IF(G135&lt;&gt;0,(G135-($K25-SUM($F116:G116))),0)</f>
        <v>0</v>
      </c>
      <c r="H152" s="153">
        <f>IF(H135&lt;&gt;0,(H135-($K25-SUM($F116:H116))),0)</f>
        <v>0</v>
      </c>
      <c r="I152" s="153">
        <f>IF(I135&lt;&gt;0,(I135-($K25-SUM($F116:I116))),0)</f>
        <v>0</v>
      </c>
      <c r="J152" s="153">
        <f>IF(J135&lt;&gt;0,(J135-($K25-SUM($F116:J116))),0)</f>
        <v>0</v>
      </c>
      <c r="K152" s="196">
        <f>K135-K116</f>
        <v>0</v>
      </c>
      <c r="L152" s="153"/>
      <c r="M152" s="151"/>
      <c r="N152" s="151"/>
      <c r="O152" s="178"/>
      <c r="T152" s="139"/>
    </row>
    <row r="153" spans="2:20" ht="12.75" hidden="1">
      <c r="B153" s="150"/>
      <c r="C153" s="192">
        <f>C26</f>
        <v>0</v>
      </c>
      <c r="D153" s="192"/>
      <c r="E153" s="192"/>
      <c r="F153" s="153">
        <f>IF(F136&lt;&gt;0,(F136-($K26-SUM($F117:F117))),0)</f>
        <v>0</v>
      </c>
      <c r="G153" s="153">
        <f>IF(G136&lt;&gt;0,(G136-($K26-SUM($F117:G117))),0)</f>
        <v>0</v>
      </c>
      <c r="H153" s="153">
        <f>IF(H136&lt;&gt;0,(H136-($K26-SUM($F117:H117))),0)</f>
        <v>0</v>
      </c>
      <c r="I153" s="153">
        <f>IF(I136&lt;&gt;0,(I136-($K26-SUM($F117:I117))),0)</f>
        <v>0</v>
      </c>
      <c r="J153" s="153">
        <f>IF(J136&lt;&gt;0,(J136-($K26-SUM($F117:J117))),0)</f>
        <v>0</v>
      </c>
      <c r="K153" s="196">
        <f>K136-K117</f>
        <v>0</v>
      </c>
      <c r="L153" s="153"/>
      <c r="M153" s="151"/>
      <c r="N153" s="151"/>
      <c r="O153" s="178"/>
      <c r="T153" s="139"/>
    </row>
    <row r="154" spans="2:20" ht="12.75" hidden="1">
      <c r="B154" s="150"/>
      <c r="C154" s="192">
        <f>C27</f>
        <v>0</v>
      </c>
      <c r="D154" s="192"/>
      <c r="E154" s="192"/>
      <c r="F154" s="153">
        <f>IF(F137&lt;&gt;0,(F137-($K27-SUM($F118:F118))),0)</f>
        <v>0</v>
      </c>
      <c r="G154" s="153">
        <f>IF(G137&lt;&gt;0,(G137-($K27-SUM($F118:G118))),0)</f>
        <v>0</v>
      </c>
      <c r="H154" s="153">
        <f>IF(H137&lt;&gt;0,(H137-($K27-SUM($F118:H118))),0)</f>
        <v>0</v>
      </c>
      <c r="I154" s="153">
        <f>IF(I137&lt;&gt;0,(I137-($K27-SUM($F118:I118))),0)</f>
        <v>0</v>
      </c>
      <c r="J154" s="153">
        <f>IF(J137&lt;&gt;0,(J137-($K27-SUM($F118:J118))),0)</f>
        <v>0</v>
      </c>
      <c r="K154" s="196">
        <f>K137-K118</f>
        <v>0</v>
      </c>
      <c r="L154" s="153"/>
      <c r="M154" s="151"/>
      <c r="N154" s="151"/>
      <c r="O154" s="178"/>
      <c r="T154" s="139"/>
    </row>
    <row r="155" spans="2:20" ht="12.75" hidden="1">
      <c r="B155" s="150"/>
      <c r="C155" s="192">
        <f>C28</f>
        <v>0</v>
      </c>
      <c r="D155" s="192"/>
      <c r="E155" s="192"/>
      <c r="F155" s="153">
        <f>IF(F138&lt;&gt;0,(F138-($K28-SUM($F119:F119))),0)</f>
        <v>0</v>
      </c>
      <c r="G155" s="153">
        <f>IF(G138&lt;&gt;0,(G138-($K28-SUM($F119:G119))),0)</f>
        <v>0</v>
      </c>
      <c r="H155" s="153">
        <f>IF(H138&lt;&gt;0,(H138-($K28-SUM($F119:H119))),0)</f>
        <v>0</v>
      </c>
      <c r="I155" s="153">
        <f>IF(I138&lt;&gt;0,(I138-($K28-SUM($F119:I119))),0)</f>
        <v>0</v>
      </c>
      <c r="J155" s="153">
        <f>IF(J138&lt;&gt;0,(J138-($K28-SUM($F119:J119))),0)</f>
        <v>0</v>
      </c>
      <c r="K155" s="196">
        <f>K138-K119</f>
        <v>0</v>
      </c>
      <c r="L155" s="153"/>
      <c r="M155" s="151"/>
      <c r="N155" s="151"/>
      <c r="O155" s="178"/>
      <c r="T155" s="139"/>
    </row>
    <row r="156" spans="2:20" ht="12.75" hidden="1">
      <c r="B156" s="150"/>
      <c r="C156" s="192">
        <f>C29</f>
        <v>0</v>
      </c>
      <c r="D156" s="192"/>
      <c r="E156" s="192"/>
      <c r="F156" s="153">
        <f>IF(F139&lt;&gt;0,(F139-($K29-SUM($F120:F120))),0)</f>
        <v>0</v>
      </c>
      <c r="G156" s="153">
        <f>IF(G139&lt;&gt;0,(G139-($K29-SUM($F120:G120))),0)</f>
        <v>0</v>
      </c>
      <c r="H156" s="153">
        <f>IF(H139&lt;&gt;0,(H139-($K29-SUM($F120:H120))),0)</f>
        <v>0</v>
      </c>
      <c r="I156" s="153">
        <f>IF(I139&lt;&gt;0,(I139-($K29-SUM($F120:I120))),0)</f>
        <v>0</v>
      </c>
      <c r="J156" s="153">
        <f>IF(J139&lt;&gt;0,(J139-($K29-SUM($F120:J120))),0)</f>
        <v>0</v>
      </c>
      <c r="K156" s="196">
        <f>K139-K120</f>
        <v>0</v>
      </c>
      <c r="L156" s="153"/>
      <c r="M156" s="151"/>
      <c r="N156" s="151"/>
      <c r="O156" s="178"/>
      <c r="T156" s="139"/>
    </row>
    <row r="157" spans="2:20" ht="12.75" hidden="1">
      <c r="B157" s="150"/>
      <c r="C157" s="192"/>
      <c r="D157" s="192"/>
      <c r="E157" s="192"/>
      <c r="F157" s="198">
        <f aca="true" t="shared" si="45" ref="F157:K157">SUM(F152:F156)</f>
        <v>0</v>
      </c>
      <c r="G157" s="198">
        <f t="shared" si="45"/>
        <v>0</v>
      </c>
      <c r="H157" s="198">
        <f t="shared" si="45"/>
        <v>0</v>
      </c>
      <c r="I157" s="198">
        <f t="shared" si="45"/>
        <v>0</v>
      </c>
      <c r="J157" s="198">
        <f t="shared" si="45"/>
        <v>0</v>
      </c>
      <c r="K157" s="199">
        <f t="shared" si="45"/>
        <v>0</v>
      </c>
      <c r="L157" s="153"/>
      <c r="M157" s="153"/>
      <c r="N157" s="153"/>
      <c r="O157" s="178"/>
      <c r="T157" s="139"/>
    </row>
    <row r="158" spans="2:20" ht="12.75" hidden="1">
      <c r="B158" s="150"/>
      <c r="C158" s="192" t="s">
        <v>77</v>
      </c>
      <c r="D158" s="192"/>
      <c r="E158" s="192"/>
      <c r="F158" s="192"/>
      <c r="G158" s="192"/>
      <c r="H158" s="192"/>
      <c r="I158" s="192"/>
      <c r="J158" s="192"/>
      <c r="K158" s="151"/>
      <c r="L158" s="192"/>
      <c r="M158" s="151"/>
      <c r="N158" s="151"/>
      <c r="O158" s="178"/>
      <c r="T158" s="139"/>
    </row>
    <row r="159" spans="2:20" ht="12.75" hidden="1">
      <c r="B159" s="150"/>
      <c r="C159" s="192">
        <f>C33</f>
        <v>0</v>
      </c>
      <c r="D159" s="192"/>
      <c r="E159" s="192"/>
      <c r="F159" s="153">
        <f>IF(F142&lt;&gt;0,(F142-($G33-SUM($F123:F123))),0)</f>
        <v>0</v>
      </c>
      <c r="G159" s="153">
        <f>IF(G142&lt;&gt;0,(G142-($G33-SUM($F123:G123))),0)</f>
        <v>0</v>
      </c>
      <c r="H159" s="153">
        <f>IF(H142&lt;&gt;0,(H142-($G33-SUM($F123:H123))),0)</f>
        <v>0</v>
      </c>
      <c r="I159" s="153">
        <f>IF(I142&lt;&gt;0,(I142-($G33-SUM($F123:I123))),0)</f>
        <v>0</v>
      </c>
      <c r="J159" s="153">
        <f>IF(J142&lt;&gt;0,(J142-($G33-SUM($F123:J123))),0)</f>
        <v>0</v>
      </c>
      <c r="K159" s="196">
        <f>K142-K123</f>
        <v>0</v>
      </c>
      <c r="L159" s="153"/>
      <c r="M159" s="151"/>
      <c r="N159" s="151"/>
      <c r="O159" s="178"/>
      <c r="T159" s="139"/>
    </row>
    <row r="160" spans="2:20" ht="12.75" hidden="1">
      <c r="B160" s="150"/>
      <c r="C160" s="192">
        <f>C34</f>
        <v>0</v>
      </c>
      <c r="D160" s="192"/>
      <c r="E160" s="192"/>
      <c r="F160" s="153">
        <f>IF(F143&lt;&gt;0,(F143-($G34-SUM($F124:F124))),0)</f>
        <v>0</v>
      </c>
      <c r="G160" s="153">
        <f>IF(G143&lt;&gt;0,(G143-($G34-SUM($F124:G124))),0)</f>
        <v>0</v>
      </c>
      <c r="H160" s="153">
        <f>IF(H143&lt;&gt;0,(H143-($G34-SUM($F124:H124))),0)</f>
        <v>0</v>
      </c>
      <c r="I160" s="153">
        <f>IF(I143&lt;&gt;0,(I143-($G34-SUM($F124:I124))),0)</f>
        <v>0</v>
      </c>
      <c r="J160" s="153">
        <f>IF(J143&lt;&gt;0,(J143-($G34-SUM($F124:J124))),0)</f>
        <v>0</v>
      </c>
      <c r="K160" s="196">
        <f>K143-K124</f>
        <v>0</v>
      </c>
      <c r="L160" s="153"/>
      <c r="M160" s="151"/>
      <c r="N160" s="151"/>
      <c r="O160" s="178"/>
      <c r="T160" s="139"/>
    </row>
    <row r="161" spans="2:20" ht="12.75" hidden="1">
      <c r="B161" s="150"/>
      <c r="C161" s="192">
        <f>C35</f>
        <v>0</v>
      </c>
      <c r="D161" s="192"/>
      <c r="E161" s="192"/>
      <c r="F161" s="153">
        <f>IF(F144&lt;&gt;0,(F144-($G35-SUM($F125:F125))),0)</f>
        <v>0</v>
      </c>
      <c r="G161" s="153">
        <f>IF(G144&lt;&gt;0,(G144-($G35-SUM($F125:G125))),0)</f>
        <v>0</v>
      </c>
      <c r="H161" s="153">
        <f>IF(H144&lt;&gt;0,(H144-($G35-SUM($F125:H125))),0)</f>
        <v>0</v>
      </c>
      <c r="I161" s="153">
        <f>IF(I144&lt;&gt;0,(I144-($G35-SUM($F125:I125))),0)</f>
        <v>0</v>
      </c>
      <c r="J161" s="153">
        <f>IF(J144&lt;&gt;0,(J144-($G35-SUM($F125:J125))),0)</f>
        <v>0</v>
      </c>
      <c r="K161" s="196">
        <f>K144-K125</f>
        <v>0</v>
      </c>
      <c r="L161" s="153"/>
      <c r="M161" s="151"/>
      <c r="N161" s="151"/>
      <c r="O161" s="178"/>
      <c r="T161" s="139"/>
    </row>
    <row r="162" spans="2:20" ht="12.75" hidden="1">
      <c r="B162" s="150"/>
      <c r="C162" s="192">
        <f>C36</f>
        <v>0</v>
      </c>
      <c r="D162" s="192"/>
      <c r="E162" s="192"/>
      <c r="F162" s="153">
        <f>IF(F145&lt;&gt;0,(F145-($G36-SUM($F126:F126))),0)</f>
        <v>0</v>
      </c>
      <c r="G162" s="153">
        <f>IF(G145&lt;&gt;0,(G145-($G36-SUM($F126:G126))),0)</f>
        <v>0</v>
      </c>
      <c r="H162" s="153">
        <f>IF(H145&lt;&gt;0,(H145-($G36-SUM($F126:H126))),0)</f>
        <v>0</v>
      </c>
      <c r="I162" s="153">
        <f>IF(I145&lt;&gt;0,(I145-($G36-SUM($F126:I126))),0)</f>
        <v>0</v>
      </c>
      <c r="J162" s="153">
        <f>IF(J145&lt;&gt;0,(J145-($G36-SUM($F126:J126))),0)</f>
        <v>0</v>
      </c>
      <c r="K162" s="196">
        <f>K145-K126</f>
        <v>0</v>
      </c>
      <c r="L162" s="153"/>
      <c r="M162" s="151"/>
      <c r="N162" s="151"/>
      <c r="O162" s="178"/>
      <c r="T162" s="139"/>
    </row>
    <row r="163" spans="2:20" ht="12.75" hidden="1">
      <c r="B163" s="150"/>
      <c r="C163" s="192">
        <f>C37</f>
        <v>0</v>
      </c>
      <c r="D163" s="192"/>
      <c r="E163" s="192"/>
      <c r="F163" s="153">
        <f>IF(F146&lt;&gt;0,(F146-($G37-SUM($F127:F127))),0)</f>
        <v>0</v>
      </c>
      <c r="G163" s="153">
        <f>IF(G146&lt;&gt;0,(G146-($G37-SUM($F127:G127))),0)</f>
        <v>0</v>
      </c>
      <c r="H163" s="153">
        <f>IF(H146&lt;&gt;0,(H146-($G37-SUM($F127:H127))),0)</f>
        <v>0</v>
      </c>
      <c r="I163" s="153">
        <f>IF(I146&lt;&gt;0,(I146-($G37-SUM($F127:I127))),0)</f>
        <v>0</v>
      </c>
      <c r="J163" s="153">
        <f>IF(J146&lt;&gt;0,(J146-($G37-SUM($F127:J127))),0)</f>
        <v>0</v>
      </c>
      <c r="K163" s="196">
        <f>K146-K127</f>
        <v>0</v>
      </c>
      <c r="L163" s="153"/>
      <c r="M163" s="151"/>
      <c r="N163" s="151"/>
      <c r="O163" s="178"/>
      <c r="T163" s="139"/>
    </row>
    <row r="164" spans="2:20" ht="12.75" hidden="1">
      <c r="B164" s="150"/>
      <c r="C164" s="192"/>
      <c r="D164" s="192"/>
      <c r="E164" s="192"/>
      <c r="F164" s="198">
        <f aca="true" t="shared" si="46" ref="F164:K164">SUM(F159:F163)</f>
        <v>0</v>
      </c>
      <c r="G164" s="198">
        <f t="shared" si="46"/>
        <v>0</v>
      </c>
      <c r="H164" s="198">
        <f t="shared" si="46"/>
        <v>0</v>
      </c>
      <c r="I164" s="198">
        <f t="shared" si="46"/>
        <v>0</v>
      </c>
      <c r="J164" s="198">
        <f t="shared" si="46"/>
        <v>0</v>
      </c>
      <c r="K164" s="199">
        <f t="shared" si="46"/>
        <v>0</v>
      </c>
      <c r="L164" s="153"/>
      <c r="M164" s="151"/>
      <c r="N164" s="151"/>
      <c r="O164" s="178"/>
      <c r="T164" s="139"/>
    </row>
    <row r="165" spans="2:20" ht="4.5" customHeight="1" hidden="1">
      <c r="B165" s="150"/>
      <c r="C165" s="192"/>
      <c r="D165" s="192"/>
      <c r="E165" s="192"/>
      <c r="F165" s="153"/>
      <c r="G165" s="153"/>
      <c r="H165" s="153"/>
      <c r="I165" s="153"/>
      <c r="J165" s="153"/>
      <c r="K165" s="153"/>
      <c r="L165" s="153"/>
      <c r="M165" s="151"/>
      <c r="N165" s="151"/>
      <c r="O165" s="178"/>
      <c r="T165" s="139"/>
    </row>
    <row r="166" spans="2:20" ht="13.5" hidden="1" thickBot="1">
      <c r="B166" s="150"/>
      <c r="C166" s="202" t="s">
        <v>125</v>
      </c>
      <c r="D166" s="192"/>
      <c r="E166" s="192"/>
      <c r="F166" s="203">
        <f aca="true" t="shared" si="47" ref="F166:K166">F157+F164</f>
        <v>0</v>
      </c>
      <c r="G166" s="203">
        <f t="shared" si="47"/>
        <v>0</v>
      </c>
      <c r="H166" s="203">
        <f t="shared" si="47"/>
        <v>0</v>
      </c>
      <c r="I166" s="203">
        <f t="shared" si="47"/>
        <v>0</v>
      </c>
      <c r="J166" s="203">
        <f t="shared" si="47"/>
        <v>0</v>
      </c>
      <c r="K166" s="204">
        <f t="shared" si="47"/>
        <v>0</v>
      </c>
      <c r="L166" s="153"/>
      <c r="M166" s="151"/>
      <c r="N166" s="151"/>
      <c r="O166" s="178"/>
      <c r="T166" s="139"/>
    </row>
    <row r="167" spans="2:20" ht="7.5" customHeight="1" hidden="1">
      <c r="B167" s="150"/>
      <c r="C167" s="192"/>
      <c r="D167" s="192"/>
      <c r="E167" s="192"/>
      <c r="F167" s="192"/>
      <c r="G167" s="192"/>
      <c r="H167" s="192"/>
      <c r="I167" s="192"/>
      <c r="J167" s="192"/>
      <c r="K167" s="192"/>
      <c r="L167" s="192"/>
      <c r="M167" s="151"/>
      <c r="N167" s="151"/>
      <c r="O167" s="178"/>
      <c r="T167" s="139"/>
    </row>
    <row r="168" spans="2:20" ht="12.75" hidden="1">
      <c r="B168" s="150"/>
      <c r="C168" s="192" t="s">
        <v>118</v>
      </c>
      <c r="D168" s="192"/>
      <c r="E168" s="192"/>
      <c r="F168" s="192"/>
      <c r="G168" s="192"/>
      <c r="H168" s="192"/>
      <c r="I168" s="192"/>
      <c r="J168" s="192"/>
      <c r="K168" s="209" t="s">
        <v>45</v>
      </c>
      <c r="L168" s="192"/>
      <c r="M168" s="151"/>
      <c r="N168" s="151"/>
      <c r="O168" s="178"/>
      <c r="T168" s="139"/>
    </row>
    <row r="169" spans="2:20" ht="12.75" hidden="1">
      <c r="B169" s="150"/>
      <c r="C169" s="192">
        <f>C25</f>
        <v>0</v>
      </c>
      <c r="D169" s="192"/>
      <c r="E169" s="192"/>
      <c r="F169" s="153">
        <f>IF(F135&lt;&gt;0,(F135-($H25-SUM($F99:F99))),0)</f>
        <v>0</v>
      </c>
      <c r="G169" s="153">
        <f>IF(G135&lt;&gt;0,(G135-($H25-SUM($F99:G99))),0)</f>
        <v>0</v>
      </c>
      <c r="H169" s="153">
        <f>IF(H135&lt;&gt;0,(H135-($H25-SUM($F99:H99))),0)</f>
        <v>0</v>
      </c>
      <c r="I169" s="153">
        <f>IF(I135&lt;&gt;0,(I135-($H25-SUM($F99:I99))),0)</f>
        <v>0</v>
      </c>
      <c r="J169" s="153">
        <f>IF(J135&lt;&gt;0,(J135-($H25-SUM($F99:J99))),0)</f>
        <v>0</v>
      </c>
      <c r="K169" s="196">
        <f>K135-K99</f>
        <v>0</v>
      </c>
      <c r="L169" s="192"/>
      <c r="M169" s="151"/>
      <c r="N169" s="151"/>
      <c r="O169" s="178"/>
      <c r="T169" s="139"/>
    </row>
    <row r="170" spans="2:20" ht="12.75" hidden="1">
      <c r="B170" s="150"/>
      <c r="C170" s="192">
        <f>C26</f>
        <v>0</v>
      </c>
      <c r="D170" s="192"/>
      <c r="E170" s="192"/>
      <c r="F170" s="153">
        <f>IF(F136&lt;&gt;0,(F136-($H26-SUM($F100:F100))),0)</f>
        <v>0</v>
      </c>
      <c r="G170" s="153">
        <f>IF(G136&lt;&gt;0,(G136-($H26-SUM($F100:G100))),0)</f>
        <v>0</v>
      </c>
      <c r="H170" s="153">
        <f>IF(H136&lt;&gt;0,(H136-($H26-SUM($F100:H100))),0)</f>
        <v>0</v>
      </c>
      <c r="I170" s="153">
        <f>IF(I136&lt;&gt;0,(I136-($H26-SUM($F100:I100))),0)</f>
        <v>0</v>
      </c>
      <c r="J170" s="153">
        <f>IF(J136&lt;&gt;0,(J136-($H26-SUM($F100:J100))),0)</f>
        <v>0</v>
      </c>
      <c r="K170" s="196">
        <f>K136-K100</f>
        <v>0</v>
      </c>
      <c r="L170" s="192"/>
      <c r="M170" s="151"/>
      <c r="N170" s="151"/>
      <c r="O170" s="178"/>
      <c r="T170" s="139"/>
    </row>
    <row r="171" spans="2:20" ht="12.75" hidden="1">
      <c r="B171" s="150"/>
      <c r="C171" s="192">
        <f>C27</f>
        <v>0</v>
      </c>
      <c r="D171" s="192"/>
      <c r="E171" s="192"/>
      <c r="F171" s="153">
        <f>IF(F137&lt;&gt;0,(F137-($H27-SUM($F101:F101))),0)</f>
        <v>0</v>
      </c>
      <c r="G171" s="153">
        <f>IF(G137&lt;&gt;0,(G137-($H27-SUM($F101:G101))),0)</f>
        <v>0</v>
      </c>
      <c r="H171" s="153">
        <f>IF(H137&lt;&gt;0,(H137-($H27-SUM($F101:H101))),0)</f>
        <v>0</v>
      </c>
      <c r="I171" s="153">
        <f>IF(I137&lt;&gt;0,(I137-($H27-SUM($F101:I101))),0)</f>
        <v>0</v>
      </c>
      <c r="J171" s="153">
        <f>IF(J137&lt;&gt;0,(J137-($H27-SUM($F101:J101))),0)</f>
        <v>0</v>
      </c>
      <c r="K171" s="196">
        <f>K137-K101</f>
        <v>0</v>
      </c>
      <c r="L171" s="192"/>
      <c r="M171" s="151"/>
      <c r="N171" s="151"/>
      <c r="O171" s="178"/>
      <c r="T171" s="139"/>
    </row>
    <row r="172" spans="2:20" ht="12.75" hidden="1">
      <c r="B172" s="150"/>
      <c r="C172" s="192">
        <f>C28</f>
        <v>0</v>
      </c>
      <c r="D172" s="192"/>
      <c r="E172" s="192"/>
      <c r="F172" s="153">
        <f>IF(F138&lt;&gt;0,(F138-($H28-SUM($F102:F102))),0)</f>
        <v>0</v>
      </c>
      <c r="G172" s="153">
        <f>IF(G138&lt;&gt;0,(G138-($H28-SUM($F102:G102))),0)</f>
        <v>0</v>
      </c>
      <c r="H172" s="153">
        <f>IF(H138&lt;&gt;0,(H138-($H28-SUM($F102:H102))),0)</f>
        <v>0</v>
      </c>
      <c r="I172" s="153">
        <f>IF(I138&lt;&gt;0,(I138-($H28-SUM($F102:I102))),0)</f>
        <v>0</v>
      </c>
      <c r="J172" s="153">
        <f>IF(J138&lt;&gt;0,(J138-($H28-SUM($F102:J102))),0)</f>
        <v>0</v>
      </c>
      <c r="K172" s="196">
        <f>K138-K102</f>
        <v>0</v>
      </c>
      <c r="L172" s="192"/>
      <c r="M172" s="151"/>
      <c r="N172" s="151"/>
      <c r="O172" s="178"/>
      <c r="T172" s="139"/>
    </row>
    <row r="173" spans="2:20" ht="12.75" hidden="1">
      <c r="B173" s="150"/>
      <c r="C173" s="192">
        <f>C29</f>
        <v>0</v>
      </c>
      <c r="D173" s="192"/>
      <c r="E173" s="192"/>
      <c r="F173" s="153">
        <f>IF(F139&lt;&gt;0,(F139-($H29-SUM($F103:F103))),0)</f>
        <v>0</v>
      </c>
      <c r="G173" s="153">
        <f>IF(G139&lt;&gt;0,(G139-($H29-SUM($F103:G103))),0)</f>
        <v>0</v>
      </c>
      <c r="H173" s="153">
        <f>IF(H139&lt;&gt;0,(H139-($H29-SUM($F103:H103))),0)</f>
        <v>0</v>
      </c>
      <c r="I173" s="153">
        <f>IF(I139&lt;&gt;0,(I139-($H29-SUM($F103:I103))),0)</f>
        <v>0</v>
      </c>
      <c r="J173" s="153">
        <f>IF(J139&lt;&gt;0,(J139-($H29-SUM($F103:J103))),0)</f>
        <v>0</v>
      </c>
      <c r="K173" s="196">
        <f>K139-K103</f>
        <v>0</v>
      </c>
      <c r="L173" s="192"/>
      <c r="M173" s="151"/>
      <c r="N173" s="151"/>
      <c r="O173" s="178"/>
      <c r="T173" s="139"/>
    </row>
    <row r="174" spans="2:20" ht="12.75" hidden="1">
      <c r="B174" s="150"/>
      <c r="C174" s="192"/>
      <c r="D174" s="192"/>
      <c r="E174" s="192"/>
      <c r="F174" s="198">
        <f aca="true" t="shared" si="48" ref="F174:K174">SUM(F169:F173)</f>
        <v>0</v>
      </c>
      <c r="G174" s="198">
        <f t="shared" si="48"/>
        <v>0</v>
      </c>
      <c r="H174" s="198">
        <f t="shared" si="48"/>
        <v>0</v>
      </c>
      <c r="I174" s="198">
        <f t="shared" si="48"/>
        <v>0</v>
      </c>
      <c r="J174" s="198">
        <f t="shared" si="48"/>
        <v>0</v>
      </c>
      <c r="K174" s="199">
        <f t="shared" si="48"/>
        <v>0</v>
      </c>
      <c r="L174" s="153"/>
      <c r="M174" s="153"/>
      <c r="N174" s="153"/>
      <c r="O174" s="178"/>
      <c r="T174" s="139"/>
    </row>
    <row r="175" spans="2:20" ht="12.75" hidden="1">
      <c r="B175" s="150"/>
      <c r="C175" s="192" t="s">
        <v>119</v>
      </c>
      <c r="D175" s="192"/>
      <c r="E175" s="192"/>
      <c r="F175" s="192"/>
      <c r="G175" s="192"/>
      <c r="H175" s="192"/>
      <c r="I175" s="192"/>
      <c r="J175" s="192"/>
      <c r="K175" s="151"/>
      <c r="L175" s="192"/>
      <c r="M175" s="151"/>
      <c r="N175" s="151"/>
      <c r="O175" s="178"/>
      <c r="T175" s="139"/>
    </row>
    <row r="176" spans="2:20" ht="12.75" hidden="1">
      <c r="B176" s="150"/>
      <c r="C176" s="192">
        <f>C33</f>
        <v>0</v>
      </c>
      <c r="D176" s="192"/>
      <c r="E176" s="192"/>
      <c r="F176" s="153">
        <f>IF(F142&lt;&gt;0,(F142-($G33-SUM($F106:F106))),0)</f>
        <v>0</v>
      </c>
      <c r="G176" s="153">
        <f>IF(G142&lt;&gt;0,(G142-($G33-SUM($F106:G106))),0)</f>
        <v>0</v>
      </c>
      <c r="H176" s="153">
        <f>IF(H142&lt;&gt;0,(H142-($G33-SUM($F106:H106))),0)</f>
        <v>0</v>
      </c>
      <c r="I176" s="153">
        <f>IF(I142&lt;&gt;0,(I142-($G33-SUM($F106:I106))),0)</f>
        <v>0</v>
      </c>
      <c r="J176" s="153">
        <f>IF(J142&lt;&gt;0,(J142-($G33-SUM($F106:J106))),0)</f>
        <v>0</v>
      </c>
      <c r="K176" s="196">
        <f>K142-K106</f>
        <v>0</v>
      </c>
      <c r="L176" s="192"/>
      <c r="M176" s="151"/>
      <c r="N176" s="151"/>
      <c r="O176" s="178"/>
      <c r="T176" s="139"/>
    </row>
    <row r="177" spans="2:20" ht="12.75" hidden="1">
      <c r="B177" s="150"/>
      <c r="C177" s="192">
        <f>C34</f>
        <v>0</v>
      </c>
      <c r="D177" s="192"/>
      <c r="E177" s="192"/>
      <c r="F177" s="153">
        <f>IF(F143&lt;&gt;0,(F143-($G34-SUM($F107:F107))),0)</f>
        <v>0</v>
      </c>
      <c r="G177" s="153">
        <f>IF(G143&lt;&gt;0,(G143-($G34-SUM($F107:G107))),0)</f>
        <v>0</v>
      </c>
      <c r="H177" s="153">
        <f>IF(H143&lt;&gt;0,(H143-($G34-SUM($F107:H107))),0)</f>
        <v>0</v>
      </c>
      <c r="I177" s="153">
        <f>IF(I143&lt;&gt;0,(I143-($G34-SUM($F107:I107))),0)</f>
        <v>0</v>
      </c>
      <c r="J177" s="153">
        <f>IF(J143&lt;&gt;0,(J143-($G34-SUM($F107:J107))),0)</f>
        <v>0</v>
      </c>
      <c r="K177" s="196">
        <f>K143-K107</f>
        <v>0</v>
      </c>
      <c r="L177" s="192"/>
      <c r="M177" s="151"/>
      <c r="N177" s="151"/>
      <c r="O177" s="178"/>
      <c r="T177" s="139"/>
    </row>
    <row r="178" spans="2:20" ht="12.75" hidden="1">
      <c r="B178" s="150"/>
      <c r="C178" s="192">
        <f>C35</f>
        <v>0</v>
      </c>
      <c r="D178" s="192"/>
      <c r="E178" s="192"/>
      <c r="F178" s="153">
        <f>IF(F144&lt;&gt;0,(F144-($G35-SUM($F108:F108))),0)</f>
        <v>0</v>
      </c>
      <c r="G178" s="153">
        <f>IF(G144&lt;&gt;0,(G144-($G35-SUM($F108:G108))),0)</f>
        <v>0</v>
      </c>
      <c r="H178" s="153">
        <f>IF(H144&lt;&gt;0,(H144-($G35-SUM($F108:H108))),0)</f>
        <v>0</v>
      </c>
      <c r="I178" s="153">
        <f>IF(I144&lt;&gt;0,(I144-($G35-SUM($F108:I108))),0)</f>
        <v>0</v>
      </c>
      <c r="J178" s="153">
        <f>IF(J144&lt;&gt;0,(J144-($G35-SUM($F108:J108))),0)</f>
        <v>0</v>
      </c>
      <c r="K178" s="196">
        <f>K144-K108</f>
        <v>0</v>
      </c>
      <c r="L178" s="192"/>
      <c r="M178" s="151"/>
      <c r="N178" s="151"/>
      <c r="O178" s="178"/>
      <c r="T178" s="139"/>
    </row>
    <row r="179" spans="2:20" ht="12.75" hidden="1">
      <c r="B179" s="150"/>
      <c r="C179" s="192">
        <f>C36</f>
        <v>0</v>
      </c>
      <c r="D179" s="192"/>
      <c r="E179" s="192"/>
      <c r="F179" s="153">
        <f>IF(F145&lt;&gt;0,(F145-($G36-SUM($F109:F109))),0)</f>
        <v>0</v>
      </c>
      <c r="G179" s="153">
        <f>IF(G145&lt;&gt;0,(G145-($G36-SUM($F109:G109))),0)</f>
        <v>0</v>
      </c>
      <c r="H179" s="153">
        <f>IF(H145&lt;&gt;0,(H145-($G36-SUM($F109:H109))),0)</f>
        <v>0</v>
      </c>
      <c r="I179" s="153">
        <f>IF(I145&lt;&gt;0,(I145-($G36-SUM($F109:I109))),0)</f>
        <v>0</v>
      </c>
      <c r="J179" s="153">
        <f>IF(J145&lt;&gt;0,(J145-($G36-SUM($F109:J109))),0)</f>
        <v>0</v>
      </c>
      <c r="K179" s="196">
        <f>K145-K109</f>
        <v>0</v>
      </c>
      <c r="L179" s="192"/>
      <c r="M179" s="151"/>
      <c r="N179" s="151"/>
      <c r="O179" s="178"/>
      <c r="T179" s="139"/>
    </row>
    <row r="180" spans="2:20" ht="12.75" hidden="1">
      <c r="B180" s="150"/>
      <c r="C180" s="192">
        <f>C37</f>
        <v>0</v>
      </c>
      <c r="D180" s="192"/>
      <c r="E180" s="192"/>
      <c r="F180" s="153">
        <f>IF(F146&lt;&gt;0,(F146-($G37-SUM($F110:F110))),0)</f>
        <v>0</v>
      </c>
      <c r="G180" s="153">
        <f>IF(G146&lt;&gt;0,(G146-($G37-SUM($F110:G110))),0)</f>
        <v>0</v>
      </c>
      <c r="H180" s="153">
        <f>IF(H146&lt;&gt;0,(H146-($G37-SUM($F110:H110))),0)</f>
        <v>0</v>
      </c>
      <c r="I180" s="153">
        <f>IF(I146&lt;&gt;0,(I146-($G37-SUM($F110:I110))),0)</f>
        <v>0</v>
      </c>
      <c r="J180" s="153">
        <f>IF(J146&lt;&gt;0,(J146-($G37-SUM($F110:J110))),0)</f>
        <v>0</v>
      </c>
      <c r="K180" s="196">
        <f>K146-K110</f>
        <v>0</v>
      </c>
      <c r="L180" s="192"/>
      <c r="M180" s="151"/>
      <c r="N180" s="151"/>
      <c r="O180" s="178"/>
      <c r="T180" s="139"/>
    </row>
    <row r="181" spans="2:20" ht="12.75" hidden="1">
      <c r="B181" s="150"/>
      <c r="C181" s="192"/>
      <c r="D181" s="192"/>
      <c r="E181" s="192"/>
      <c r="F181" s="198">
        <f aca="true" t="shared" si="49" ref="F181:K181">SUM(F176:F180)</f>
        <v>0</v>
      </c>
      <c r="G181" s="198">
        <f t="shared" si="49"/>
        <v>0</v>
      </c>
      <c r="H181" s="198">
        <f t="shared" si="49"/>
        <v>0</v>
      </c>
      <c r="I181" s="198">
        <f t="shared" si="49"/>
        <v>0</v>
      </c>
      <c r="J181" s="198">
        <f t="shared" si="49"/>
        <v>0</v>
      </c>
      <c r="K181" s="199">
        <f t="shared" si="49"/>
        <v>0</v>
      </c>
      <c r="L181" s="192"/>
      <c r="M181" s="151"/>
      <c r="N181" s="151"/>
      <c r="O181" s="178"/>
      <c r="T181" s="139"/>
    </row>
    <row r="182" spans="2:20" ht="4.5" customHeight="1" hidden="1">
      <c r="B182" s="150"/>
      <c r="C182" s="192"/>
      <c r="D182" s="192"/>
      <c r="E182" s="192"/>
      <c r="F182" s="153"/>
      <c r="G182" s="153"/>
      <c r="H182" s="153"/>
      <c r="I182" s="153"/>
      <c r="J182" s="153"/>
      <c r="K182" s="153"/>
      <c r="L182" s="192"/>
      <c r="M182" s="151"/>
      <c r="N182" s="151"/>
      <c r="O182" s="178"/>
      <c r="T182" s="139"/>
    </row>
    <row r="183" spans="2:20" ht="13.5" hidden="1" thickBot="1">
      <c r="B183" s="150"/>
      <c r="C183" s="202" t="s">
        <v>126</v>
      </c>
      <c r="D183" s="192"/>
      <c r="E183" s="192"/>
      <c r="F183" s="203">
        <f aca="true" t="shared" si="50" ref="F183:K183">F174+F181</f>
        <v>0</v>
      </c>
      <c r="G183" s="203">
        <f t="shared" si="50"/>
        <v>0</v>
      </c>
      <c r="H183" s="203">
        <f t="shared" si="50"/>
        <v>0</v>
      </c>
      <c r="I183" s="203">
        <f t="shared" si="50"/>
        <v>0</v>
      </c>
      <c r="J183" s="203">
        <f t="shared" si="50"/>
        <v>0</v>
      </c>
      <c r="K183" s="204">
        <f t="shared" si="50"/>
        <v>0</v>
      </c>
      <c r="L183" s="192"/>
      <c r="M183" s="151"/>
      <c r="N183" s="151"/>
      <c r="O183" s="178"/>
      <c r="T183" s="139"/>
    </row>
    <row r="184" spans="2:20" ht="6" customHeight="1" hidden="1">
      <c r="B184" s="206"/>
      <c r="C184" s="207"/>
      <c r="D184" s="207"/>
      <c r="E184" s="207"/>
      <c r="F184" s="184"/>
      <c r="G184" s="184"/>
      <c r="H184" s="184"/>
      <c r="I184" s="184"/>
      <c r="J184" s="184"/>
      <c r="K184" s="184"/>
      <c r="L184" s="207"/>
      <c r="M184" s="183"/>
      <c r="N184" s="183"/>
      <c r="O184" s="185"/>
      <c r="T184" s="139"/>
    </row>
    <row r="185" spans="2:20" ht="6" customHeight="1" hidden="1">
      <c r="B185" s="143"/>
      <c r="C185" s="208"/>
      <c r="D185" s="208"/>
      <c r="E185" s="208"/>
      <c r="F185" s="153"/>
      <c r="G185" s="153"/>
      <c r="H185" s="153"/>
      <c r="I185" s="153"/>
      <c r="J185" s="153"/>
      <c r="K185" s="153"/>
      <c r="L185" s="208"/>
      <c r="M185" s="143"/>
      <c r="N185" s="143"/>
      <c r="O185" s="143"/>
      <c r="T185" s="139"/>
    </row>
    <row r="186" spans="2:20" ht="16.5" customHeight="1" collapsed="1">
      <c r="B186" s="189"/>
      <c r="C186" s="146" t="s">
        <v>87</v>
      </c>
      <c r="D186" s="191"/>
      <c r="E186" s="191"/>
      <c r="F186" s="191"/>
      <c r="G186" s="191"/>
      <c r="H186" s="191"/>
      <c r="I186" s="191"/>
      <c r="J186" s="191"/>
      <c r="K186" s="191"/>
      <c r="L186" s="191"/>
      <c r="M186" s="147"/>
      <c r="N186" s="147"/>
      <c r="O186" s="176"/>
      <c r="T186" s="139" t="b">
        <v>0</v>
      </c>
    </row>
    <row r="187" spans="2:20" ht="12" customHeight="1" hidden="1">
      <c r="B187" s="150"/>
      <c r="C187" s="192" t="s">
        <v>115</v>
      </c>
      <c r="D187" s="192"/>
      <c r="E187" s="192"/>
      <c r="F187" s="164">
        <f>F5</f>
        <v>2011</v>
      </c>
      <c r="G187" s="164">
        <f>G5</f>
        <v>2012</v>
      </c>
      <c r="H187" s="164">
        <f>H5</f>
        <v>2013</v>
      </c>
      <c r="I187" s="164">
        <f>I5</f>
        <v>2014</v>
      </c>
      <c r="J187" s="164">
        <f>J5</f>
        <v>2015</v>
      </c>
      <c r="K187" s="209" t="s">
        <v>6</v>
      </c>
      <c r="L187" s="194" t="s">
        <v>116</v>
      </c>
      <c r="M187" s="151"/>
      <c r="N187" s="151"/>
      <c r="O187" s="178"/>
      <c r="T187" s="139"/>
    </row>
    <row r="188" spans="2:20" ht="12" customHeight="1" hidden="1">
      <c r="B188" s="150"/>
      <c r="C188" s="192">
        <f>C25</f>
        <v>0</v>
      </c>
      <c r="D188" s="192"/>
      <c r="E188" s="192"/>
      <c r="F188" s="153">
        <f>IF(($F25+F$98-1)&lt;Assumptions!$F$13,(($N25/(1-($F25/Assumptions!$F$13)))/Assumptions!$F$13),0)</f>
        <v>0</v>
      </c>
      <c r="G188" s="153">
        <f>IF(($F25+G$98-1)&lt;Assumptions!$F$13,(($N25/(1-($F25/Assumptions!$F$13)))/Assumptions!$F$13),0)</f>
        <v>0</v>
      </c>
      <c r="H188" s="153">
        <f>IF(($F25+H$98-1)&lt;Assumptions!$F$13,(($N25/(1-($F25/Assumptions!$F$13)))/Assumptions!$F$13),0)</f>
        <v>0</v>
      </c>
      <c r="I188" s="153">
        <f>IF(($F25+I$98-1)&lt;Assumptions!$F$13,(($N25/(1-($F25/Assumptions!$F$13)))/Assumptions!$F$13),0)</f>
        <v>0</v>
      </c>
      <c r="J188" s="153">
        <f>IF(($F25+J$98-1)&lt;Assumptions!$F$13,(($N25/(1-($F25/Assumptions!$F$13)))/Assumptions!$F$13),0)</f>
        <v>0</v>
      </c>
      <c r="K188" s="196">
        <f>SUM(F188:J188)</f>
        <v>0</v>
      </c>
      <c r="L188" s="153">
        <f>N25-K188</f>
        <v>0</v>
      </c>
      <c r="M188" s="151"/>
      <c r="N188" s="151"/>
      <c r="O188" s="178"/>
      <c r="T188" s="139"/>
    </row>
    <row r="189" spans="2:20" ht="12" customHeight="1" hidden="1">
      <c r="B189" s="150"/>
      <c r="C189" s="192">
        <f>C26</f>
        <v>0</v>
      </c>
      <c r="D189" s="192"/>
      <c r="E189" s="192"/>
      <c r="F189" s="153">
        <f>IF(($F26+F$98-1)&lt;Assumptions!$F$13,(($N26/(1-($F26/Assumptions!$F$13)))/Assumptions!$F$13),0)</f>
        <v>0</v>
      </c>
      <c r="G189" s="153">
        <f>IF(($F26+G$98-1)&lt;Assumptions!$F$13,(($N26/(1-($F26/Assumptions!$F$13)))/Assumptions!$F$13),0)</f>
        <v>0</v>
      </c>
      <c r="H189" s="153">
        <f>IF(($F26+H$98-1)&lt;Assumptions!$F$13,(($N26/(1-($F26/Assumptions!$F$13)))/Assumptions!$F$13),0)</f>
        <v>0</v>
      </c>
      <c r="I189" s="153">
        <f>IF(($F26+I$98-1)&lt;Assumptions!$F$13,(($N26/(1-($F26/Assumptions!$F$13)))/Assumptions!$F$13),0)</f>
        <v>0</v>
      </c>
      <c r="J189" s="153">
        <f>IF(($F26+J$98-1)&lt;Assumptions!$F$13,(($N26/(1-($F26/Assumptions!$F$13)))/Assumptions!$F$13),0)</f>
        <v>0</v>
      </c>
      <c r="K189" s="196">
        <f>SUM(F189:J189)</f>
        <v>0</v>
      </c>
      <c r="L189" s="153">
        <f>N26-K189</f>
        <v>0</v>
      </c>
      <c r="M189" s="151"/>
      <c r="N189" s="151"/>
      <c r="O189" s="178"/>
      <c r="T189" s="139"/>
    </row>
    <row r="190" spans="2:20" ht="12" customHeight="1" hidden="1">
      <c r="B190" s="150"/>
      <c r="C190" s="192">
        <f>C27</f>
        <v>0</v>
      </c>
      <c r="D190" s="192"/>
      <c r="E190" s="192"/>
      <c r="F190" s="153">
        <f>IF(($F27+F$98-1)&lt;Assumptions!$F$13,(($N27/(1-($F27/Assumptions!$F$13)))/Assumptions!$F$13),0)</f>
        <v>0</v>
      </c>
      <c r="G190" s="153">
        <f>IF(($F27+G$98-1)&lt;Assumptions!$F$13,(($N27/(1-($F27/Assumptions!$F$13)))/Assumptions!$F$13),0)</f>
        <v>0</v>
      </c>
      <c r="H190" s="153">
        <f>IF(($F27+H$98-1)&lt;Assumptions!$F$13,(($N27/(1-($F27/Assumptions!$F$13)))/Assumptions!$F$13),0)</f>
        <v>0</v>
      </c>
      <c r="I190" s="153">
        <f>IF(($F27+I$98-1)&lt;Assumptions!$F$13,(($N27/(1-($F27/Assumptions!$F$13)))/Assumptions!$F$13),0)</f>
        <v>0</v>
      </c>
      <c r="J190" s="153">
        <f>IF(($F27+J$98-1)&lt;Assumptions!$F$13,(($N27/(1-($F27/Assumptions!$F$13)))/Assumptions!$F$13),0)</f>
        <v>0</v>
      </c>
      <c r="K190" s="196">
        <f>SUM(F190:J190)</f>
        <v>0</v>
      </c>
      <c r="L190" s="153">
        <f>N27-K190</f>
        <v>0</v>
      </c>
      <c r="M190" s="151"/>
      <c r="N190" s="151"/>
      <c r="O190" s="178"/>
      <c r="T190" s="139"/>
    </row>
    <row r="191" spans="2:20" ht="12" customHeight="1" hidden="1">
      <c r="B191" s="150"/>
      <c r="C191" s="192">
        <f>C28</f>
        <v>0</v>
      </c>
      <c r="D191" s="192"/>
      <c r="E191" s="192"/>
      <c r="F191" s="153">
        <f>IF(($F28+F$98-1)&lt;Assumptions!$F$13,(($N28/(1-($F28/Assumptions!$F$13)))/Assumptions!$F$13),0)</f>
        <v>0</v>
      </c>
      <c r="G191" s="153">
        <f>IF(($F28+G$98-1)&lt;Assumptions!$F$13,(($N28/(1-($F28/Assumptions!$F$13)))/Assumptions!$F$13),0)</f>
        <v>0</v>
      </c>
      <c r="H191" s="153">
        <f>IF(($F28+H$98-1)&lt;Assumptions!$F$13,(($N28/(1-($F28/Assumptions!$F$13)))/Assumptions!$F$13),0)</f>
        <v>0</v>
      </c>
      <c r="I191" s="153">
        <f>IF(($F28+I$98-1)&lt;Assumptions!$F$13,(($N28/(1-($F28/Assumptions!$F$13)))/Assumptions!$F$13),0)</f>
        <v>0</v>
      </c>
      <c r="J191" s="153">
        <f>IF(($F28+J$98-1)&lt;Assumptions!$F$13,(($N28/(1-($F28/Assumptions!$F$13)))/Assumptions!$F$13),0)</f>
        <v>0</v>
      </c>
      <c r="K191" s="196">
        <f>SUM(F191:J191)</f>
        <v>0</v>
      </c>
      <c r="L191" s="153">
        <f>N28-K191</f>
        <v>0</v>
      </c>
      <c r="M191" s="151"/>
      <c r="N191" s="151"/>
      <c r="O191" s="178"/>
      <c r="T191" s="139"/>
    </row>
    <row r="192" spans="2:20" ht="12" customHeight="1" hidden="1">
      <c r="B192" s="150"/>
      <c r="C192" s="192">
        <f>C29</f>
        <v>0</v>
      </c>
      <c r="D192" s="192"/>
      <c r="E192" s="192"/>
      <c r="F192" s="153">
        <f>IF(($F29+F$98-1)&lt;Assumptions!$F$13,(($N29/(1-($F29/Assumptions!$F$13)))/Assumptions!$F$13),0)</f>
        <v>0</v>
      </c>
      <c r="G192" s="153">
        <f>IF(($F29+G$98-1)&lt;Assumptions!$F$13,(($N29/(1-($F29/Assumptions!$F$13)))/Assumptions!$F$13),0)</f>
        <v>0</v>
      </c>
      <c r="H192" s="153">
        <f>IF(($F29+H$98-1)&lt;Assumptions!$F$13,(($N29/(1-($F29/Assumptions!$F$13)))/Assumptions!$F$13),0)</f>
        <v>0</v>
      </c>
      <c r="I192" s="153">
        <f>IF(($F29+I$98-1)&lt;Assumptions!$F$13,(($N29/(1-($F29/Assumptions!$F$13)))/Assumptions!$F$13),0)</f>
        <v>0</v>
      </c>
      <c r="J192" s="153">
        <f>IF(($F29+J$98-1)&lt;Assumptions!$F$13,(($N29/(1-($F29/Assumptions!$F$13)))/Assumptions!$F$13),0)</f>
        <v>0</v>
      </c>
      <c r="K192" s="196">
        <f>SUM(F192:J192)</f>
        <v>0</v>
      </c>
      <c r="L192" s="153">
        <f>N29-K192</f>
        <v>0</v>
      </c>
      <c r="M192" s="151"/>
      <c r="N192" s="151"/>
      <c r="O192" s="178"/>
      <c r="T192" s="139"/>
    </row>
    <row r="193" spans="2:20" ht="12" customHeight="1" hidden="1">
      <c r="B193" s="150"/>
      <c r="C193" s="192"/>
      <c r="D193" s="192"/>
      <c r="E193" s="192"/>
      <c r="F193" s="198">
        <f>SUM(F188:F192)</f>
        <v>0</v>
      </c>
      <c r="G193" s="198">
        <f aca="true" t="shared" si="51" ref="G193:L193">SUM(G188:G192)</f>
        <v>0</v>
      </c>
      <c r="H193" s="198">
        <f t="shared" si="51"/>
        <v>0</v>
      </c>
      <c r="I193" s="198">
        <f t="shared" si="51"/>
        <v>0</v>
      </c>
      <c r="J193" s="198">
        <f t="shared" si="51"/>
        <v>0</v>
      </c>
      <c r="K193" s="199">
        <f t="shared" si="51"/>
        <v>0</v>
      </c>
      <c r="L193" s="198">
        <f t="shared" si="51"/>
        <v>0</v>
      </c>
      <c r="M193" s="151"/>
      <c r="N193" s="151"/>
      <c r="O193" s="178"/>
      <c r="T193" s="139"/>
    </row>
    <row r="194" spans="2:20" ht="12" customHeight="1" hidden="1">
      <c r="B194" s="150"/>
      <c r="C194" s="192" t="s">
        <v>117</v>
      </c>
      <c r="D194" s="192"/>
      <c r="E194" s="192"/>
      <c r="F194" s="192"/>
      <c r="G194" s="192"/>
      <c r="H194" s="192"/>
      <c r="I194" s="192"/>
      <c r="J194" s="192"/>
      <c r="K194" s="192"/>
      <c r="L194" s="192"/>
      <c r="M194" s="151"/>
      <c r="N194" s="151"/>
      <c r="O194" s="178"/>
      <c r="T194" s="139"/>
    </row>
    <row r="195" spans="2:20" ht="12" customHeight="1" hidden="1">
      <c r="B195" s="150"/>
      <c r="C195" s="192">
        <f>C33</f>
        <v>0</v>
      </c>
      <c r="D195" s="192"/>
      <c r="E195" s="192"/>
      <c r="F195" s="192">
        <f>IF($F33&lt;=F$98,IF(($F33+F$98-1)&lt;$E33,(MAX(($G33-$H33),0)/Assumptions!$F$13),0),0)</f>
        <v>0</v>
      </c>
      <c r="G195" s="192">
        <f>IF($F33&lt;=G$98,IF(($F33+G$98-1)&lt;$E33,(MAX(($G33-$H33),0)/Assumptions!$F$13),0),0)</f>
        <v>0</v>
      </c>
      <c r="H195" s="192">
        <f>IF($F33&lt;=H$98,IF(($F33+H$98-1)&lt;$E33,(MAX(($G33-$H33),0)/Assumptions!$F$13),0),0)</f>
        <v>0</v>
      </c>
      <c r="I195" s="192">
        <f>IF($F33&lt;=I$98,IF(($F33+I$98-1)&lt;$E33,(MAX(($G33-$H33),0)/Assumptions!$F$13),0),0)</f>
        <v>0</v>
      </c>
      <c r="J195" s="192">
        <f>IF($F33&lt;=J$98,IF(($F33+J$98-1)&lt;$E33,(MAX(($G33-$H33),0)/Assumptions!$F$13),0),0)</f>
        <v>0</v>
      </c>
      <c r="K195" s="210">
        <f>SUM(F195:J195)</f>
        <v>0</v>
      </c>
      <c r="L195" s="153">
        <f>MAX(($G33-$H33-K195),0)</f>
        <v>0</v>
      </c>
      <c r="M195" s="151"/>
      <c r="N195" s="151"/>
      <c r="O195" s="178"/>
      <c r="T195" s="139"/>
    </row>
    <row r="196" spans="2:20" ht="12" customHeight="1" hidden="1">
      <c r="B196" s="150"/>
      <c r="C196" s="192">
        <f>C34</f>
        <v>0</v>
      </c>
      <c r="D196" s="192"/>
      <c r="E196" s="192"/>
      <c r="F196" s="192">
        <f>IF($F34&lt;=F$98,IF(($F34+F$98-1)&lt;$E34,(MAX(($G34-$H34),0)/Assumptions!$F$13),0),0)</f>
        <v>0</v>
      </c>
      <c r="G196" s="192">
        <f>IF($F34&lt;=G$98,IF(($F34+G$98-1)&lt;$E34,(MAX(($G34-$H34),0)/Assumptions!$F$13),0),0)</f>
        <v>0</v>
      </c>
      <c r="H196" s="192">
        <f>IF($F34&lt;=H$98,IF(($F34+H$98-1)&lt;$E34,(MAX(($G34-$H34),0)/Assumptions!$F$13),0),0)</f>
        <v>0</v>
      </c>
      <c r="I196" s="192">
        <f>IF($F34&lt;=I$98,IF(($F34+I$98-1)&lt;$E34,(MAX(($G34-$H34),0)/Assumptions!$F$13),0),0)</f>
        <v>0</v>
      </c>
      <c r="J196" s="192">
        <f>IF($F34&lt;=J$98,IF(($F34+J$98-1)&lt;$E34,(MAX(($G34-$H34),0)/Assumptions!$F$13),0),0)</f>
        <v>0</v>
      </c>
      <c r="K196" s="210">
        <f>SUM(F196:J196)</f>
        <v>0</v>
      </c>
      <c r="L196" s="153">
        <f>MAX(($G34-$H34-K196),0)</f>
        <v>0</v>
      </c>
      <c r="M196" s="151"/>
      <c r="N196" s="151"/>
      <c r="O196" s="178"/>
      <c r="T196" s="139"/>
    </row>
    <row r="197" spans="2:20" ht="12" customHeight="1" hidden="1">
      <c r="B197" s="150"/>
      <c r="C197" s="192">
        <f>C35</f>
        <v>0</v>
      </c>
      <c r="D197" s="192"/>
      <c r="E197" s="192"/>
      <c r="F197" s="192">
        <f>IF($F35&lt;=F$98,IF(($F35+F$98-1)&lt;$E35,(MAX(($G35-$H35),0)/Assumptions!$F$13),0),0)</f>
        <v>0</v>
      </c>
      <c r="G197" s="192">
        <f>IF($F35&lt;=G$98,IF(($F35+G$98-1)&lt;$E35,(MAX(($G35-$H35),0)/Assumptions!$F$13),0),0)</f>
        <v>0</v>
      </c>
      <c r="H197" s="192">
        <f>IF($F35&lt;=H$98,IF(($F35+H$98-1)&lt;$E35,(MAX(($G35-$H35),0)/Assumptions!$F$13),0),0)</f>
        <v>0</v>
      </c>
      <c r="I197" s="192">
        <f>IF($F35&lt;=I$98,IF(($F35+I$98-1)&lt;$E35,(MAX(($G35-$H35),0)/Assumptions!$F$13),0),0)</f>
        <v>0</v>
      </c>
      <c r="J197" s="192">
        <f>IF($F35&lt;=J$98,IF(($F35+J$98-1)&lt;$E35,(MAX(($G35-$H35),0)/Assumptions!$F$13),0),0)</f>
        <v>0</v>
      </c>
      <c r="K197" s="210">
        <f>SUM(F197:J197)</f>
        <v>0</v>
      </c>
      <c r="L197" s="153">
        <f>MAX(($G35-$H35-K197),0)</f>
        <v>0</v>
      </c>
      <c r="M197" s="151"/>
      <c r="N197" s="151"/>
      <c r="O197" s="178"/>
      <c r="T197" s="139"/>
    </row>
    <row r="198" spans="2:20" ht="12" customHeight="1" hidden="1">
      <c r="B198" s="150"/>
      <c r="C198" s="192">
        <f>C36</f>
        <v>0</v>
      </c>
      <c r="D198" s="192"/>
      <c r="E198" s="192"/>
      <c r="F198" s="192">
        <f>IF($F36&lt;=F$98,IF(($F36+F$98-1)&lt;$E36,(MAX(($G36-$H36),0)/Assumptions!$F$13),0),0)</f>
        <v>0</v>
      </c>
      <c r="G198" s="192">
        <f>IF($F36&lt;=G$98,IF(($F36+G$98-1)&lt;$E36,(MAX(($G36-$H36),0)/Assumptions!$F$13),0),0)</f>
        <v>0</v>
      </c>
      <c r="H198" s="192">
        <f>IF($F36&lt;=H$98,IF(($F36+H$98-1)&lt;$E36,(MAX(($G36-$H36),0)/Assumptions!$F$13),0),0)</f>
        <v>0</v>
      </c>
      <c r="I198" s="192">
        <f>IF($F36&lt;=I$98,IF(($F36+I$98-1)&lt;$E36,(MAX(($G36-$H36),0)/Assumptions!$F$13),0),0)</f>
        <v>0</v>
      </c>
      <c r="J198" s="192">
        <f>IF($F36&lt;=J$98,IF(($F36+J$98-1)&lt;$E36,(MAX(($G36-$H36),0)/Assumptions!$F$13),0),0)</f>
        <v>0</v>
      </c>
      <c r="K198" s="210">
        <f>SUM(F198:J198)</f>
        <v>0</v>
      </c>
      <c r="L198" s="153">
        <f>MAX(($G36-$H36-K198),0)</f>
        <v>0</v>
      </c>
      <c r="M198" s="151"/>
      <c r="N198" s="151"/>
      <c r="O198" s="178"/>
      <c r="T198" s="139"/>
    </row>
    <row r="199" spans="2:20" ht="12" customHeight="1" hidden="1">
      <c r="B199" s="150"/>
      <c r="C199" s="192">
        <f>C37</f>
        <v>0</v>
      </c>
      <c r="D199" s="192"/>
      <c r="E199" s="192"/>
      <c r="F199" s="192">
        <f>IF($F37&lt;=F$98,IF(($F37+F$98-1)&lt;$E37,(MAX(($G37-$H37),0)/Assumptions!$F$13),0),0)</f>
        <v>0</v>
      </c>
      <c r="G199" s="192">
        <f>IF($F37&lt;=G$98,IF(($F37+G$98-1)&lt;$E37,(MAX(($G37-$H37),0)/Assumptions!$F$13),0),0)</f>
        <v>0</v>
      </c>
      <c r="H199" s="192">
        <f>IF($F37&lt;=H$98,IF(($F37+H$98-1)&lt;$E37,(MAX(($G37-$H37),0)/Assumptions!$F$13),0),0)</f>
        <v>0</v>
      </c>
      <c r="I199" s="192">
        <f>IF($F37&lt;=I$98,IF(($F37+I$98-1)&lt;$E37,(MAX(($G37-$H37),0)/Assumptions!$F$13),0),0)</f>
        <v>0</v>
      </c>
      <c r="J199" s="192">
        <f>IF($F37&lt;=J$98,IF(($F37+J$98-1)&lt;$E37,(MAX(($G37-$H37),0)/Assumptions!$F$13),0),0)</f>
        <v>0</v>
      </c>
      <c r="K199" s="210">
        <f>SUM(F199:J199)</f>
        <v>0</v>
      </c>
      <c r="L199" s="153">
        <f>MAX(($G37-$H37-K199),0)</f>
        <v>0</v>
      </c>
      <c r="M199" s="151"/>
      <c r="N199" s="151"/>
      <c r="O199" s="178"/>
      <c r="T199" s="139"/>
    </row>
    <row r="200" spans="2:20" ht="12" customHeight="1" hidden="1">
      <c r="B200" s="150"/>
      <c r="C200" s="192"/>
      <c r="D200" s="192"/>
      <c r="E200" s="192"/>
      <c r="F200" s="211">
        <f>SUM(F195:F199)</f>
        <v>0</v>
      </c>
      <c r="G200" s="211">
        <f aca="true" t="shared" si="52" ref="G200:L200">SUM(G195:G199)</f>
        <v>0</v>
      </c>
      <c r="H200" s="211">
        <f t="shared" si="52"/>
        <v>0</v>
      </c>
      <c r="I200" s="211">
        <f t="shared" si="52"/>
        <v>0</v>
      </c>
      <c r="J200" s="211">
        <f t="shared" si="52"/>
        <v>0</v>
      </c>
      <c r="K200" s="212">
        <f t="shared" si="52"/>
        <v>0</v>
      </c>
      <c r="L200" s="211">
        <f t="shared" si="52"/>
        <v>0</v>
      </c>
      <c r="M200" s="151"/>
      <c r="N200" s="151"/>
      <c r="O200" s="178"/>
      <c r="T200" s="139"/>
    </row>
    <row r="201" spans="2:20" ht="6" customHeight="1" hidden="1">
      <c r="B201" s="150"/>
      <c r="C201" s="192"/>
      <c r="D201" s="192"/>
      <c r="E201" s="192"/>
      <c r="F201" s="192"/>
      <c r="G201" s="192"/>
      <c r="H201" s="192"/>
      <c r="I201" s="192"/>
      <c r="J201" s="192"/>
      <c r="K201" s="192"/>
      <c r="L201" s="192"/>
      <c r="M201" s="151"/>
      <c r="N201" s="151"/>
      <c r="O201" s="178"/>
      <c r="T201" s="139"/>
    </row>
    <row r="202" spans="2:20" ht="12" customHeight="1" hidden="1" thickBot="1">
      <c r="B202" s="150"/>
      <c r="C202" s="202" t="s">
        <v>127</v>
      </c>
      <c r="D202" s="192"/>
      <c r="E202" s="192"/>
      <c r="F202" s="203">
        <f>F193+F200</f>
        <v>0</v>
      </c>
      <c r="G202" s="203">
        <f aca="true" t="shared" si="53" ref="G202:L202">G193+G200</f>
        <v>0</v>
      </c>
      <c r="H202" s="203">
        <f t="shared" si="53"/>
        <v>0</v>
      </c>
      <c r="I202" s="203">
        <f t="shared" si="53"/>
        <v>0</v>
      </c>
      <c r="J202" s="203">
        <f t="shared" si="53"/>
        <v>0</v>
      </c>
      <c r="K202" s="204">
        <f t="shared" si="53"/>
        <v>0</v>
      </c>
      <c r="L202" s="203">
        <f t="shared" si="53"/>
        <v>0</v>
      </c>
      <c r="M202" s="151"/>
      <c r="N202" s="151"/>
      <c r="O202" s="178"/>
      <c r="T202" s="139"/>
    </row>
    <row r="203" spans="2:20" ht="6" customHeight="1" hidden="1">
      <c r="B203" s="206"/>
      <c r="C203" s="207"/>
      <c r="D203" s="207"/>
      <c r="E203" s="207"/>
      <c r="F203" s="207"/>
      <c r="G203" s="207"/>
      <c r="H203" s="207"/>
      <c r="I203" s="207"/>
      <c r="J203" s="207"/>
      <c r="K203" s="207"/>
      <c r="L203" s="207"/>
      <c r="M203" s="183"/>
      <c r="N203" s="183"/>
      <c r="O203" s="185"/>
      <c r="T203" s="139"/>
    </row>
    <row r="204" spans="2:20" ht="6" customHeight="1" hidden="1">
      <c r="B204" s="143"/>
      <c r="C204" s="208"/>
      <c r="D204" s="208"/>
      <c r="E204" s="208"/>
      <c r="F204" s="192"/>
      <c r="G204" s="192"/>
      <c r="H204" s="192"/>
      <c r="I204" s="192"/>
      <c r="J204" s="192"/>
      <c r="K204" s="192"/>
      <c r="L204" s="192"/>
      <c r="M204" s="143"/>
      <c r="N204" s="143"/>
      <c r="O204" s="143"/>
      <c r="T204" s="139"/>
    </row>
    <row r="205" spans="2:20" ht="16.5" customHeight="1" collapsed="1">
      <c r="B205" s="189"/>
      <c r="C205" s="146" t="s">
        <v>69</v>
      </c>
      <c r="D205" s="191"/>
      <c r="E205" s="147"/>
      <c r="F205" s="147"/>
      <c r="G205" s="147"/>
      <c r="H205" s="147"/>
      <c r="I205" s="147"/>
      <c r="J205" s="147"/>
      <c r="K205" s="147"/>
      <c r="L205" s="191"/>
      <c r="M205" s="147"/>
      <c r="N205" s="147"/>
      <c r="O205" s="176"/>
      <c r="T205" s="139" t="b">
        <v>0</v>
      </c>
    </row>
    <row r="206" spans="2:20" ht="12.75" hidden="1">
      <c r="B206" s="150"/>
      <c r="C206" s="192" t="s">
        <v>70</v>
      </c>
      <c r="D206" s="151"/>
      <c r="E206" s="193">
        <v>0</v>
      </c>
      <c r="F206" s="193">
        <v>1</v>
      </c>
      <c r="G206" s="193">
        <v>2</v>
      </c>
      <c r="H206" s="193">
        <v>3</v>
      </c>
      <c r="I206" s="193">
        <v>4</v>
      </c>
      <c r="J206" s="193">
        <v>5</v>
      </c>
      <c r="K206" s="209" t="s">
        <v>47</v>
      </c>
      <c r="L206" s="151"/>
      <c r="M206" s="151"/>
      <c r="N206" s="151"/>
      <c r="O206" s="178"/>
      <c r="T206" s="139"/>
    </row>
    <row r="207" spans="2:20" ht="12.75" hidden="1">
      <c r="B207" s="150"/>
      <c r="C207" s="192">
        <f>C19</f>
        <v>0</v>
      </c>
      <c r="D207" s="192"/>
      <c r="E207" s="153">
        <f>(-E19)*(1-Tax)</f>
        <v>0</v>
      </c>
      <c r="F207" s="153">
        <f>(-F19+IF($K19+2-F$206&gt;0,(($E19)/$K19),0))*(1-Tax)</f>
        <v>0</v>
      </c>
      <c r="G207" s="153">
        <f>(-G19+IF($K19+2-F$206&gt;0,(($E19)/$K19),0)+IF($K19+2-G$206&gt;0,(($F19)/$K19),0))*(1-Tax)</f>
        <v>0</v>
      </c>
      <c r="H207" s="153">
        <f>(-H19+IF($K19+2-F$206&gt;0,(($E19)/$K19),0)+IF($K19+2-G$206&gt;0,(($F19)/$K19),0)+IF($K19+3-H$206&gt;0,(($G19)/$K19),0))*(1-Tax)</f>
        <v>0</v>
      </c>
      <c r="I207" s="153">
        <f>(-I19+IF($K19+2-F$206&gt;0,(($E19)/$K19),0)+IF($K19+2-G$206&gt;0,(($F19)/$K19),0)+IF($K19+3-H$206&gt;0,(($G19)/$K19),0)+IF($K19+4-I$206&gt;0,(($H19)/$K19),0))*(1-Tax)</f>
        <v>0</v>
      </c>
      <c r="J207" s="153">
        <f>(-J19+IF($K19+2-F$206&gt;0,(($E19)/$K19),0)+IF($K19+2-G$206&gt;0,(($F19)/$K19),0)+IF($K19+3-H$206&gt;0,(($G19)/$K19),0)+IF($K19+4-I$206&gt;0,(($H19)/$K19),0)+IF($K19+5-J$206&gt;0,(($I19)/$K19),0))*(1-Tax)</f>
        <v>0</v>
      </c>
      <c r="K207" s="213">
        <f>(-(PV(K271,MAX($K19-5,0),$E19/$K19)+PV(K271,MAX($K19-4,0),$F19/$K19)+PV(K271,MAX($K19-3,0),$G19/$K19)+PV(K271,MAX($K19-2,0),$H19/$K19)+PV(K271,MAX($K19-1,0),$I19/$K19)+PV(K271,MAX($K19,0),$J19/$K19)))*(1-Tax)</f>
        <v>0</v>
      </c>
      <c r="L207" s="192"/>
      <c r="M207" s="151"/>
      <c r="N207" s="151"/>
      <c r="O207" s="178"/>
      <c r="T207" s="139"/>
    </row>
    <row r="208" spans="2:20" ht="12.75" hidden="1">
      <c r="B208" s="150"/>
      <c r="C208" s="192">
        <f>C20</f>
        <v>0</v>
      </c>
      <c r="D208" s="192"/>
      <c r="E208" s="153">
        <f>(-E20)*(1-Tax)</f>
        <v>0</v>
      </c>
      <c r="F208" s="153">
        <f>(-F20+IF($K20+2-F$206&gt;0,(($E20)/$K20),0))*(1-Tax)</f>
        <v>0</v>
      </c>
      <c r="G208" s="153">
        <f>(-G20+IF($K20+2-F$206&gt;0,(($E20)/$K20),0)+IF($K20+2-G$206&gt;0,(($F20)/$K20),0))*(1-Tax)</f>
        <v>0</v>
      </c>
      <c r="H208" s="153">
        <f>(-H20+IF($K20+2-F$206&gt;0,(($E20)/$K20),0)+IF($K20+2-G$206&gt;0,(($F20)/$K20),0)+IF($K20+3-H$206&gt;0,(($G20)/$K20),0))*(1-Tax)</f>
        <v>0</v>
      </c>
      <c r="I208" s="153">
        <f>(-I20+IF($K20+2-F$206&gt;0,(($E20)/$K20),0)+IF($K20+2-G$206&gt;0,(($F20)/$K20),0)+IF($K20+3-H$206&gt;0,(($G20)/$K20),0)+IF($K20+4-I$206&gt;0,(($H20)/$K20),0))*(1-Tax)</f>
        <v>0</v>
      </c>
      <c r="J208" s="153">
        <f>(-J20+IF($K20+2-F$206&gt;0,(($E20)/$K20),0)+IF($K20+2-G$206&gt;0,(($F20)/$K20),0)+IF($K20+3-H$206&gt;0,(($G20)/$K20),0)+IF($K20+4-I$206&gt;0,(($H20)/$K20),0)+IF($K20+5-J$206&gt;0,(($I20)/$K20),0))*(1-Tax)</f>
        <v>0</v>
      </c>
      <c r="K208" s="213">
        <f>(-(PV(K271,MAX($K20-5,0),$E20/$K20)+PV(K271,MAX($K20-4,0),$F20/$K20)+PV(K271,MAX($K20-3,0),$G20/$K20)+PV(K271,MAX($K20-2,0),$H20/$K20)+PV(K271,MAX($K20-1,0),$I20/$K20)+PV(K271,MAX($K20,0),$J20/$K20)))*(1-Tax)</f>
        <v>0</v>
      </c>
      <c r="L208" s="192"/>
      <c r="M208" s="151"/>
      <c r="N208" s="151"/>
      <c r="O208" s="178"/>
      <c r="T208" s="139"/>
    </row>
    <row r="209" spans="2:20" ht="12.75" hidden="1">
      <c r="B209" s="150"/>
      <c r="C209" s="192">
        <f>C21</f>
        <v>0</v>
      </c>
      <c r="D209" s="192"/>
      <c r="E209" s="153">
        <f>(-E21)*(1-Tax)</f>
        <v>0</v>
      </c>
      <c r="F209" s="153">
        <f>(-F21+IF($K21+2-F$206&gt;0,(($E21)/$K21),0))*(1-Tax)</f>
        <v>0</v>
      </c>
      <c r="G209" s="153">
        <f>(-G21+IF($K21+2-F$206&gt;0,(($E21)/$K21),0)+IF($K21+2-G$206&gt;0,(($F21)/$K21),0))*(1-Tax)</f>
        <v>0</v>
      </c>
      <c r="H209" s="153">
        <f>(-H21+IF($K21+2-F$206&gt;0,(($E21)/$K21),0)+IF($K21+2-G$206&gt;0,(($F21)/$K21),0)+IF($K21+3-H$206&gt;0,(($G21)/$K21),0))*(1-Tax)</f>
        <v>0</v>
      </c>
      <c r="I209" s="153">
        <f>(-I21+IF($K21+2-F$206&gt;0,(($E21)/$K21),0)+IF($K21+2-G$206&gt;0,(($F21)/$K21),0)+IF($K21+3-H$206&gt;0,(($G21)/$K21),0)+IF($K21+4-I$206&gt;0,(($H21)/$K21),0))*(1-Tax)</f>
        <v>0</v>
      </c>
      <c r="J209" s="153">
        <f>(-J21+IF($K21+2-F$206&gt;0,(($E21)/$K21),0)+IF($K21+2-G$206&gt;0,(($F21)/$K21),0)+IF($K21+3-H$206&gt;0,(($G21)/$K21),0)+IF($K21+4-I$206&gt;0,(($H21)/$K21),0)+IF($K21+5-J$206&gt;0,(($I21)/$K21),0))*(1-Tax)</f>
        <v>0</v>
      </c>
      <c r="K209" s="213">
        <f>(-(PV(K271,MAX($K21-5,0),$E21/$K21)+PV(K271,MAX($K21-4,0),$F21/$K21)+PV(K271,MAX($K21-3,0),$G21/$K21)+PV(K271,MAX($K21-2,0),$H21/$K21)+PV(K271,MAX($K21-1,0),$I21/$K21)+PV(K271,MAX($K21,0),$J21/$K21)))*(1-Tax)</f>
        <v>0</v>
      </c>
      <c r="L209" s="192"/>
      <c r="M209" s="151"/>
      <c r="N209" s="151"/>
      <c r="O209" s="178"/>
      <c r="T209" s="139"/>
    </row>
    <row r="210" spans="2:20" ht="13.5" hidden="1" thickBot="1">
      <c r="B210" s="150"/>
      <c r="C210" s="202" t="s">
        <v>130</v>
      </c>
      <c r="D210" s="192"/>
      <c r="E210" s="203">
        <f aca="true" t="shared" si="54" ref="E210:K210">SUM(E207:E209)</f>
        <v>0</v>
      </c>
      <c r="F210" s="203">
        <f t="shared" si="54"/>
        <v>0</v>
      </c>
      <c r="G210" s="203">
        <f t="shared" si="54"/>
        <v>0</v>
      </c>
      <c r="H210" s="203">
        <f t="shared" si="54"/>
        <v>0</v>
      </c>
      <c r="I210" s="203">
        <f t="shared" si="54"/>
        <v>0</v>
      </c>
      <c r="J210" s="203">
        <f t="shared" si="54"/>
        <v>0</v>
      </c>
      <c r="K210" s="204">
        <f t="shared" si="54"/>
        <v>0</v>
      </c>
      <c r="L210" s="192"/>
      <c r="M210" s="151"/>
      <c r="N210" s="151"/>
      <c r="O210" s="178"/>
      <c r="T210" s="139"/>
    </row>
    <row r="211" spans="2:20" ht="6" customHeight="1" hidden="1">
      <c r="B211" s="150"/>
      <c r="C211" s="192"/>
      <c r="D211" s="192"/>
      <c r="E211" s="153"/>
      <c r="F211" s="153"/>
      <c r="G211" s="153"/>
      <c r="H211" s="153"/>
      <c r="I211" s="153"/>
      <c r="J211" s="153"/>
      <c r="K211" s="153"/>
      <c r="L211" s="192"/>
      <c r="M211" s="151"/>
      <c r="N211" s="151"/>
      <c r="O211" s="178"/>
      <c r="T211" s="139"/>
    </row>
    <row r="212" spans="2:20" ht="12.75" hidden="1">
      <c r="B212" s="150"/>
      <c r="C212" s="192" t="s">
        <v>72</v>
      </c>
      <c r="D212" s="192"/>
      <c r="E212" s="192"/>
      <c r="F212" s="192"/>
      <c r="G212" s="192"/>
      <c r="H212" s="192"/>
      <c r="I212" s="192"/>
      <c r="J212" s="192"/>
      <c r="K212" s="192"/>
      <c r="L212" s="192"/>
      <c r="M212" s="151"/>
      <c r="N212" s="151"/>
      <c r="O212" s="178"/>
      <c r="T212" s="139"/>
    </row>
    <row r="213" spans="2:20" ht="12.75" hidden="1">
      <c r="B213" s="150"/>
      <c r="C213" s="192">
        <f>C19</f>
        <v>0</v>
      </c>
      <c r="D213" s="192"/>
      <c r="E213" s="153">
        <f>E207</f>
        <v>0</v>
      </c>
      <c r="F213" s="153">
        <f aca="true" t="shared" si="55" ref="F213:J215">E213+F207</f>
        <v>0</v>
      </c>
      <c r="G213" s="153">
        <f t="shared" si="55"/>
        <v>0</v>
      </c>
      <c r="H213" s="153">
        <f t="shared" si="55"/>
        <v>0</v>
      </c>
      <c r="I213" s="153">
        <f t="shared" si="55"/>
        <v>0</v>
      </c>
      <c r="J213" s="153">
        <f t="shared" si="55"/>
        <v>0</v>
      </c>
      <c r="K213" s="213">
        <f>J213+K207</f>
        <v>0</v>
      </c>
      <c r="L213" s="192"/>
      <c r="M213" s="151"/>
      <c r="N213" s="151"/>
      <c r="O213" s="178"/>
      <c r="T213" s="139"/>
    </row>
    <row r="214" spans="2:20" ht="12.75" hidden="1">
      <c r="B214" s="150"/>
      <c r="C214" s="192">
        <f>C20</f>
        <v>0</v>
      </c>
      <c r="D214" s="192"/>
      <c r="E214" s="153">
        <f>E208</f>
        <v>0</v>
      </c>
      <c r="F214" s="153">
        <f t="shared" si="55"/>
        <v>0</v>
      </c>
      <c r="G214" s="153">
        <f t="shared" si="55"/>
        <v>0</v>
      </c>
      <c r="H214" s="153">
        <f t="shared" si="55"/>
        <v>0</v>
      </c>
      <c r="I214" s="153">
        <f t="shared" si="55"/>
        <v>0</v>
      </c>
      <c r="J214" s="153">
        <f t="shared" si="55"/>
        <v>0</v>
      </c>
      <c r="K214" s="213">
        <f>J214+K208</f>
        <v>0</v>
      </c>
      <c r="L214" s="192"/>
      <c r="M214" s="151"/>
      <c r="N214" s="151"/>
      <c r="O214" s="178"/>
      <c r="T214" s="139"/>
    </row>
    <row r="215" spans="2:20" ht="12.75" hidden="1">
      <c r="B215" s="150"/>
      <c r="C215" s="192">
        <f>C21</f>
        <v>0</v>
      </c>
      <c r="D215" s="192"/>
      <c r="E215" s="153">
        <f>E209</f>
        <v>0</v>
      </c>
      <c r="F215" s="153">
        <f t="shared" si="55"/>
        <v>0</v>
      </c>
      <c r="G215" s="153">
        <f t="shared" si="55"/>
        <v>0</v>
      </c>
      <c r="H215" s="153">
        <f t="shared" si="55"/>
        <v>0</v>
      </c>
      <c r="I215" s="153">
        <f t="shared" si="55"/>
        <v>0</v>
      </c>
      <c r="J215" s="153">
        <f t="shared" si="55"/>
        <v>0</v>
      </c>
      <c r="K215" s="213">
        <f>J215+K209</f>
        <v>0</v>
      </c>
      <c r="L215" s="192"/>
      <c r="M215" s="151"/>
      <c r="N215" s="151"/>
      <c r="O215" s="178"/>
      <c r="T215" s="139"/>
    </row>
    <row r="216" spans="2:20" ht="13.5" hidden="1" thickBot="1">
      <c r="B216" s="150"/>
      <c r="C216" s="202" t="s">
        <v>129</v>
      </c>
      <c r="D216" s="192"/>
      <c r="E216" s="203">
        <f aca="true" t="shared" si="56" ref="E216:K216">SUM(E213:E215)</f>
        <v>0</v>
      </c>
      <c r="F216" s="203">
        <f t="shared" si="56"/>
        <v>0</v>
      </c>
      <c r="G216" s="203">
        <f t="shared" si="56"/>
        <v>0</v>
      </c>
      <c r="H216" s="203">
        <f t="shared" si="56"/>
        <v>0</v>
      </c>
      <c r="I216" s="203">
        <f t="shared" si="56"/>
        <v>0</v>
      </c>
      <c r="J216" s="203">
        <f t="shared" si="56"/>
        <v>0</v>
      </c>
      <c r="K216" s="204">
        <f t="shared" si="56"/>
        <v>0</v>
      </c>
      <c r="L216" s="192"/>
      <c r="M216" s="151"/>
      <c r="N216" s="151"/>
      <c r="O216" s="178"/>
      <c r="T216" s="139"/>
    </row>
    <row r="217" spans="2:20" ht="7.5" customHeight="1" hidden="1">
      <c r="B217" s="206"/>
      <c r="C217" s="207"/>
      <c r="D217" s="207"/>
      <c r="E217" s="184"/>
      <c r="F217" s="184"/>
      <c r="G217" s="184"/>
      <c r="H217" s="184"/>
      <c r="I217" s="184"/>
      <c r="J217" s="184"/>
      <c r="K217" s="207"/>
      <c r="L217" s="207"/>
      <c r="M217" s="183"/>
      <c r="N217" s="183"/>
      <c r="O217" s="185"/>
      <c r="T217" s="139"/>
    </row>
    <row r="218" spans="2:20" ht="7.5" customHeight="1" hidden="1">
      <c r="B218" s="143"/>
      <c r="C218" s="208"/>
      <c r="D218" s="208"/>
      <c r="E218" s="153"/>
      <c r="F218" s="153"/>
      <c r="G218" s="153"/>
      <c r="H218" s="153"/>
      <c r="I218" s="153"/>
      <c r="J218" s="153"/>
      <c r="K218" s="208"/>
      <c r="L218" s="208"/>
      <c r="M218" s="143"/>
      <c r="N218" s="143"/>
      <c r="O218" s="143"/>
      <c r="T218" s="139"/>
    </row>
    <row r="219" spans="2:20" ht="16.5" customHeight="1" collapsed="1">
      <c r="B219" s="189"/>
      <c r="C219" s="146" t="s">
        <v>65</v>
      </c>
      <c r="D219" s="191"/>
      <c r="E219" s="191"/>
      <c r="F219" s="191"/>
      <c r="G219" s="191"/>
      <c r="H219" s="191"/>
      <c r="I219" s="191"/>
      <c r="J219" s="191"/>
      <c r="K219" s="191"/>
      <c r="L219" s="191"/>
      <c r="M219" s="147"/>
      <c r="N219" s="147"/>
      <c r="O219" s="176"/>
      <c r="T219" s="139" t="b">
        <v>0</v>
      </c>
    </row>
    <row r="220" spans="2:20" ht="12.75" hidden="1">
      <c r="B220" s="150"/>
      <c r="C220" s="192" t="s">
        <v>66</v>
      </c>
      <c r="D220" s="192"/>
      <c r="E220" s="192"/>
      <c r="F220" s="164">
        <f>F5</f>
        <v>2011</v>
      </c>
      <c r="G220" s="164">
        <f>G5</f>
        <v>2012</v>
      </c>
      <c r="H220" s="164">
        <f>H5</f>
        <v>2013</v>
      </c>
      <c r="I220" s="164">
        <f>I5</f>
        <v>2014</v>
      </c>
      <c r="J220" s="164">
        <f>J5</f>
        <v>2015</v>
      </c>
      <c r="K220" s="209" t="s">
        <v>6</v>
      </c>
      <c r="L220" s="192"/>
      <c r="M220" s="151"/>
      <c r="N220" s="151"/>
      <c r="O220" s="178"/>
      <c r="T220" s="139"/>
    </row>
    <row r="221" spans="2:20" ht="12.75" hidden="1">
      <c r="B221" s="150"/>
      <c r="C221" s="192">
        <f>C33</f>
        <v>0</v>
      </c>
      <c r="D221" s="192"/>
      <c r="E221" s="192"/>
      <c r="F221" s="153">
        <f aca="true" t="shared" si="57" ref="F221:J225">IF($F33=F$98,$G33,0)</f>
        <v>0</v>
      </c>
      <c r="G221" s="153">
        <f t="shared" si="57"/>
        <v>0</v>
      </c>
      <c r="H221" s="153">
        <f t="shared" si="57"/>
        <v>0</v>
      </c>
      <c r="I221" s="153">
        <f t="shared" si="57"/>
        <v>0</v>
      </c>
      <c r="J221" s="153">
        <f t="shared" si="57"/>
        <v>0</v>
      </c>
      <c r="K221" s="196">
        <f>SUM(F221:J221)</f>
        <v>0</v>
      </c>
      <c r="L221" s="153"/>
      <c r="M221" s="151"/>
      <c r="N221" s="151"/>
      <c r="O221" s="178"/>
      <c r="T221" s="139"/>
    </row>
    <row r="222" spans="2:20" ht="12.75" hidden="1">
      <c r="B222" s="150"/>
      <c r="C222" s="192">
        <f>C34</f>
        <v>0</v>
      </c>
      <c r="D222" s="192"/>
      <c r="E222" s="192"/>
      <c r="F222" s="153">
        <f t="shared" si="57"/>
        <v>0</v>
      </c>
      <c r="G222" s="153">
        <f t="shared" si="57"/>
        <v>0</v>
      </c>
      <c r="H222" s="153">
        <f t="shared" si="57"/>
        <v>0</v>
      </c>
      <c r="I222" s="153">
        <f t="shared" si="57"/>
        <v>0</v>
      </c>
      <c r="J222" s="153">
        <f t="shared" si="57"/>
        <v>0</v>
      </c>
      <c r="K222" s="196">
        <f>SUM(F222:J222)</f>
        <v>0</v>
      </c>
      <c r="L222" s="153"/>
      <c r="M222" s="151"/>
      <c r="N222" s="151"/>
      <c r="O222" s="178"/>
      <c r="T222" s="139"/>
    </row>
    <row r="223" spans="2:20" ht="12.75" hidden="1">
      <c r="B223" s="150"/>
      <c r="C223" s="192">
        <f>C35</f>
        <v>0</v>
      </c>
      <c r="D223" s="192"/>
      <c r="E223" s="192"/>
      <c r="F223" s="153">
        <f t="shared" si="57"/>
        <v>0</v>
      </c>
      <c r="G223" s="153">
        <f t="shared" si="57"/>
        <v>0</v>
      </c>
      <c r="H223" s="153">
        <f t="shared" si="57"/>
        <v>0</v>
      </c>
      <c r="I223" s="153">
        <f t="shared" si="57"/>
        <v>0</v>
      </c>
      <c r="J223" s="153">
        <f t="shared" si="57"/>
        <v>0</v>
      </c>
      <c r="K223" s="196">
        <f>SUM(F223:J223)</f>
        <v>0</v>
      </c>
      <c r="L223" s="153"/>
      <c r="M223" s="151"/>
      <c r="N223" s="151"/>
      <c r="O223" s="178"/>
      <c r="T223" s="139"/>
    </row>
    <row r="224" spans="2:20" ht="12.75" hidden="1">
      <c r="B224" s="150"/>
      <c r="C224" s="192">
        <f>C36</f>
        <v>0</v>
      </c>
      <c r="D224" s="192"/>
      <c r="E224" s="192"/>
      <c r="F224" s="153">
        <f t="shared" si="57"/>
        <v>0</v>
      </c>
      <c r="G224" s="153">
        <f t="shared" si="57"/>
        <v>0</v>
      </c>
      <c r="H224" s="153">
        <f t="shared" si="57"/>
        <v>0</v>
      </c>
      <c r="I224" s="153">
        <f t="shared" si="57"/>
        <v>0</v>
      </c>
      <c r="J224" s="153">
        <f t="shared" si="57"/>
        <v>0</v>
      </c>
      <c r="K224" s="196">
        <f>SUM(F224:J224)</f>
        <v>0</v>
      </c>
      <c r="L224" s="153"/>
      <c r="M224" s="151"/>
      <c r="N224" s="151"/>
      <c r="O224" s="178"/>
      <c r="T224" s="139"/>
    </row>
    <row r="225" spans="2:20" ht="12.75" hidden="1">
      <c r="B225" s="150"/>
      <c r="C225" s="192">
        <f>C37</f>
        <v>0</v>
      </c>
      <c r="D225" s="192"/>
      <c r="E225" s="192"/>
      <c r="F225" s="153">
        <f t="shared" si="57"/>
        <v>0</v>
      </c>
      <c r="G225" s="153">
        <f t="shared" si="57"/>
        <v>0</v>
      </c>
      <c r="H225" s="153">
        <f t="shared" si="57"/>
        <v>0</v>
      </c>
      <c r="I225" s="153">
        <f t="shared" si="57"/>
        <v>0</v>
      </c>
      <c r="J225" s="153">
        <f t="shared" si="57"/>
        <v>0</v>
      </c>
      <c r="K225" s="196">
        <f>SUM(F225:J225)</f>
        <v>0</v>
      </c>
      <c r="L225" s="153"/>
      <c r="M225" s="151"/>
      <c r="N225" s="151"/>
      <c r="O225" s="178"/>
      <c r="T225" s="139"/>
    </row>
    <row r="226" spans="2:20" ht="13.5" hidden="1" thickBot="1">
      <c r="B226" s="150"/>
      <c r="C226" s="202" t="s">
        <v>128</v>
      </c>
      <c r="D226" s="192"/>
      <c r="E226" s="192"/>
      <c r="F226" s="203">
        <f aca="true" t="shared" si="58" ref="F226:K226">SUM(F221:F225)</f>
        <v>0</v>
      </c>
      <c r="G226" s="203">
        <f t="shared" si="58"/>
        <v>0</v>
      </c>
      <c r="H226" s="203">
        <f t="shared" si="58"/>
        <v>0</v>
      </c>
      <c r="I226" s="203">
        <f t="shared" si="58"/>
        <v>0</v>
      </c>
      <c r="J226" s="203">
        <f t="shared" si="58"/>
        <v>0</v>
      </c>
      <c r="K226" s="204">
        <f t="shared" si="58"/>
        <v>0</v>
      </c>
      <c r="L226" s="153"/>
      <c r="M226" s="151"/>
      <c r="N226" s="151"/>
      <c r="O226" s="178"/>
      <c r="T226" s="139"/>
    </row>
    <row r="227" spans="2:20" ht="7.5" customHeight="1" hidden="1">
      <c r="B227" s="150"/>
      <c r="C227" s="192"/>
      <c r="D227" s="192"/>
      <c r="E227" s="192"/>
      <c r="F227" s="153"/>
      <c r="G227" s="153"/>
      <c r="H227" s="153"/>
      <c r="I227" s="153"/>
      <c r="J227" s="153"/>
      <c r="K227" s="153"/>
      <c r="L227" s="153"/>
      <c r="M227" s="151"/>
      <c r="N227" s="151"/>
      <c r="O227" s="178"/>
      <c r="T227" s="139"/>
    </row>
    <row r="228" spans="2:20" ht="12.75" hidden="1">
      <c r="B228" s="150"/>
      <c r="C228" s="192" t="s">
        <v>67</v>
      </c>
      <c r="D228" s="192"/>
      <c r="E228" s="192"/>
      <c r="F228" s="153"/>
      <c r="G228" s="153"/>
      <c r="H228" s="153"/>
      <c r="I228" s="153"/>
      <c r="J228" s="153"/>
      <c r="K228" s="214"/>
      <c r="L228" s="153"/>
      <c r="M228" s="151"/>
      <c r="N228" s="151"/>
      <c r="O228" s="178"/>
      <c r="T228" s="139"/>
    </row>
    <row r="229" spans="2:20" ht="12.75" hidden="1">
      <c r="B229" s="150"/>
      <c r="C229" s="192">
        <f>C25</f>
        <v>0</v>
      </c>
      <c r="D229" s="192"/>
      <c r="E229" s="153"/>
      <c r="F229" s="153">
        <f>IF($J25="Straight Line",(($H25/(1-($F25*$I25)))),(($H25/(1-$I25)^$F25)))</f>
        <v>0</v>
      </c>
      <c r="G229" s="153">
        <f>IF(SUM($F135:F135)&gt;0,0,IF($J25="Straight Line",(($H25/(1-($F25*$I25)))),(($H25/(1-$I25)^$F25))))</f>
        <v>0</v>
      </c>
      <c r="H229" s="153">
        <f>IF(SUM($F135:G135)&gt;0,0,IF($J25="Straight Line",(($H25/(1-($F25*$I25)))),(($H25/(1-$I25)^$F25))))</f>
        <v>0</v>
      </c>
      <c r="I229" s="153">
        <f>IF(SUM($F135:H135)&gt;0,0,IF($J25="Straight Line",(($H25/(1-($F25*$I25)))),(($H25/(1-$I25)^$F25))))</f>
        <v>0</v>
      </c>
      <c r="J229" s="153">
        <f>IF(SUM($F135:I135)&gt;0,0,IF($J25="Straight Line",(($H25/(1-($F25*$I25)))),(($H25/(1-$I25)^$F25))))</f>
        <v>0</v>
      </c>
      <c r="K229" s="196">
        <f>IF(SUM($F135:J135)&gt;0,0,IF(($E25-$F25)&gt;5,-PV(J271,($E25-$F25-5),IF($J25="Straight Line",(($H25/(1-($F25*$I25)))),(($H25/(1-$I25)^$F25)))),0))</f>
        <v>0</v>
      </c>
      <c r="L229" s="153"/>
      <c r="M229" s="151"/>
      <c r="N229" s="151"/>
      <c r="O229" s="178"/>
      <c r="T229" s="139"/>
    </row>
    <row r="230" spans="2:20" ht="12.75" hidden="1">
      <c r="B230" s="150"/>
      <c r="C230" s="192">
        <f>C26</f>
        <v>0</v>
      </c>
      <c r="D230" s="192"/>
      <c r="E230" s="192"/>
      <c r="F230" s="153">
        <f>IF($J26="Straight Line",(($H26/(1-($F26*$I26)))),(($H26/(1-$I26)^$F26)))</f>
        <v>0</v>
      </c>
      <c r="G230" s="153">
        <f>IF(SUM($F136:F136)&gt;0,0,IF($J26="Straight Line",(($H26/(1-($F26*$I26)))),(($H26/(1-$I26)^$F26))))</f>
        <v>0</v>
      </c>
      <c r="H230" s="153">
        <f>IF(SUM($F136:G136)&gt;0,0,IF($J26="Straight Line",(($H26/(1-($F26*$I26)))),(($H26/(1-$I26)^$F26))))</f>
        <v>0</v>
      </c>
      <c r="I230" s="153">
        <f>IF(SUM($F136:H136)&gt;0,0,IF($J26="Straight Line",(($H26/(1-($F26*$I26)))),(($H26/(1-$I26)^$F26))))</f>
        <v>0</v>
      </c>
      <c r="J230" s="153">
        <f>IF(SUM($F136:I136)&gt;0,0,IF($J26="Straight Line",(($H26/(1-($F26*$I26)))),(($H26/(1-$I26)^$F26))))</f>
        <v>0</v>
      </c>
      <c r="K230" s="196">
        <f>IF(SUM($F136:J136)&gt;0,0,IF(($E26-$F26)&gt;5,-PV(J271,($E26-$F26-5),IF($J26="Straight Line",(($H26/(1-($F26*$I26)))),(($H26/(1-$I26)^$F26)))),0))</f>
        <v>0</v>
      </c>
      <c r="L230" s="153"/>
      <c r="M230" s="151"/>
      <c r="N230" s="151"/>
      <c r="O230" s="178"/>
      <c r="T230" s="139"/>
    </row>
    <row r="231" spans="2:20" ht="12.75" hidden="1">
      <c r="B231" s="150"/>
      <c r="C231" s="192">
        <f>C27</f>
        <v>0</v>
      </c>
      <c r="D231" s="192"/>
      <c r="E231" s="192"/>
      <c r="F231" s="153">
        <f>IF($J27="Straight Line",(($H27/(1-($F27*$I27)))),(($H27/(1-$I27)^$F27)))</f>
        <v>0</v>
      </c>
      <c r="G231" s="153">
        <f>IF(SUM($F137:F137)&gt;0,0,IF($J27="Straight Line",(($H27/(1-($F27*$I27)))),(($H27/(1-$I27)^$F27))))</f>
        <v>0</v>
      </c>
      <c r="H231" s="153">
        <f>IF(SUM($F137:G137)&gt;0,0,IF($J27="Straight Line",(($H27/(1-($F27*$I27)))),(($H27/(1-$I27)^$F27))))</f>
        <v>0</v>
      </c>
      <c r="I231" s="153">
        <f>IF(SUM($F137:H137)&gt;0,0,IF($J27="Straight Line",(($H27/(1-($F27*$I27)))),(($H27/(1-$I27)^$F27))))</f>
        <v>0</v>
      </c>
      <c r="J231" s="153">
        <f>IF(SUM($F137:I137)&gt;0,0,IF($J27="Straight Line",(($H27/(1-($F27*$I27)))),(($H27/(1-$I27)^$F27))))</f>
        <v>0</v>
      </c>
      <c r="K231" s="196">
        <f>IF(SUM($F137:J137)&gt;0,0,IF(($E27-$F27)&gt;5,-PV(J271,($E27-$F27-5),IF($J27="Straight Line",(($H27/(1-($F27*$I27)))),(($H27/(1-$I27)^$F27)))),0))</f>
        <v>0</v>
      </c>
      <c r="L231" s="153"/>
      <c r="M231" s="151"/>
      <c r="N231" s="151"/>
      <c r="O231" s="178"/>
      <c r="T231" s="139"/>
    </row>
    <row r="232" spans="2:20" ht="12.75" hidden="1">
      <c r="B232" s="150"/>
      <c r="C232" s="192">
        <f>C28</f>
        <v>0</v>
      </c>
      <c r="D232" s="192"/>
      <c r="E232" s="192"/>
      <c r="F232" s="153">
        <f>IF($J28="Straight Line",(($H28/(1-($F28*$I28)))),(($H28/(1-$I28)^$F28)))</f>
        <v>0</v>
      </c>
      <c r="G232" s="153">
        <f>IF(SUM($F138:F138)&gt;0,0,IF($J28="Straight Line",(($H28/(1-($F28*$I28)))),(($H28/(1-$I28)^$F28))))</f>
        <v>0</v>
      </c>
      <c r="H232" s="153">
        <f>IF(SUM($F138:G138)&gt;0,0,IF($J28="Straight Line",(($H28/(1-($F28*$I28)))),(($H28/(1-$I28)^$F28))))</f>
        <v>0</v>
      </c>
      <c r="I232" s="153">
        <f>IF(SUM($F138:H138)&gt;0,0,IF($J28="Straight Line",(($H28/(1-($F28*$I28)))),(($H28/(1-$I28)^$F28))))</f>
        <v>0</v>
      </c>
      <c r="J232" s="153">
        <f>IF(SUM($F138:I138)&gt;0,0,IF($J28="Straight Line",(($H28/(1-($F28*$I28)))),(($H28/(1-$I28)^$F28))))</f>
        <v>0</v>
      </c>
      <c r="K232" s="196">
        <f>IF(SUM($F138:J138)&gt;0,0,IF(($E28-$F28)&gt;5,-PV(J271,($E28-$F28-5),IF($J28="Straight Line",(($H28/(1-($F28*$I28)))),(($H28/(1-$I28)^$F28)))),0))</f>
        <v>0</v>
      </c>
      <c r="L232" s="153"/>
      <c r="M232" s="151"/>
      <c r="N232" s="151"/>
      <c r="O232" s="178"/>
      <c r="T232" s="139"/>
    </row>
    <row r="233" spans="2:20" ht="12.75" hidden="1">
      <c r="B233" s="150"/>
      <c r="C233" s="192">
        <f>C29</f>
        <v>0</v>
      </c>
      <c r="D233" s="192"/>
      <c r="E233" s="192"/>
      <c r="F233" s="153">
        <f>IF($J29="Straight Line",(($H29/(1-($F29*$I29)))),(($H29/(1-$I29)^$F29)))</f>
        <v>0</v>
      </c>
      <c r="G233" s="153">
        <f>IF(SUM($F139:F139)&gt;0,0,IF($J29="Straight Line",(($H29/(1-($F29*$I29)))),(($H29/(1-$I29)^$F29))))</f>
        <v>0</v>
      </c>
      <c r="H233" s="153">
        <f>IF(SUM($F139:G139)&gt;0,0,IF($J29="Straight Line",(($H29/(1-($F29*$I29)))),(($H29/(1-$I29)^$F29))))</f>
        <v>0</v>
      </c>
      <c r="I233" s="153">
        <f>IF(SUM($F139:H139)&gt;0,0,IF($J29="Straight Line",(($H29/(1-($F29*$I29)))),(($H29/(1-$I29)^$F29))))</f>
        <v>0</v>
      </c>
      <c r="J233" s="153">
        <f>IF(SUM($F139:I139)&gt;0,0,IF($J29="Straight Line",(($H29/(1-($F29*$I29)))),(($H29/(1-$I29)^$F29))))</f>
        <v>0</v>
      </c>
      <c r="K233" s="196">
        <f>IF(SUM($F139:J139)&gt;0,0,IF(($E29-$F29)&gt;5,-PV(J271,($E29-$F29-5),IF($J29="Straight Line",(($H29/(1-($F29*$I29)))),(($H29/(1-$I29)^$F29)))),0))</f>
        <v>0</v>
      </c>
      <c r="L233" s="153"/>
      <c r="M233" s="151"/>
      <c r="N233" s="151"/>
      <c r="O233" s="178"/>
      <c r="T233" s="139"/>
    </row>
    <row r="234" spans="2:20" ht="12.75" hidden="1">
      <c r="B234" s="150"/>
      <c r="C234" s="192"/>
      <c r="D234" s="192"/>
      <c r="E234" s="192"/>
      <c r="F234" s="198">
        <f aca="true" t="shared" si="59" ref="F234:K234">SUM(F229:F233)</f>
        <v>0</v>
      </c>
      <c r="G234" s="198">
        <f t="shared" si="59"/>
        <v>0</v>
      </c>
      <c r="H234" s="198">
        <f t="shared" si="59"/>
        <v>0</v>
      </c>
      <c r="I234" s="198">
        <f t="shared" si="59"/>
        <v>0</v>
      </c>
      <c r="J234" s="198">
        <f t="shared" si="59"/>
        <v>0</v>
      </c>
      <c r="K234" s="199">
        <f t="shared" si="59"/>
        <v>0</v>
      </c>
      <c r="L234" s="153"/>
      <c r="M234" s="151"/>
      <c r="N234" s="151"/>
      <c r="O234" s="178"/>
      <c r="T234" s="139"/>
    </row>
    <row r="235" spans="2:20" ht="6" customHeight="1" hidden="1">
      <c r="B235" s="150"/>
      <c r="C235" s="192"/>
      <c r="D235" s="192"/>
      <c r="E235" s="192"/>
      <c r="F235" s="153"/>
      <c r="G235" s="153"/>
      <c r="H235" s="153"/>
      <c r="I235" s="153"/>
      <c r="J235" s="153"/>
      <c r="K235" s="153"/>
      <c r="L235" s="153"/>
      <c r="M235" s="151"/>
      <c r="N235" s="151"/>
      <c r="O235" s="178"/>
      <c r="T235" s="139"/>
    </row>
    <row r="236" spans="2:20" ht="12.75" hidden="1">
      <c r="B236" s="150"/>
      <c r="C236" s="192" t="s">
        <v>68</v>
      </c>
      <c r="D236" s="192"/>
      <c r="E236" s="192"/>
      <c r="F236" s="153"/>
      <c r="G236" s="153"/>
      <c r="H236" s="153"/>
      <c r="I236" s="153"/>
      <c r="J236" s="153"/>
      <c r="K236" s="209" t="s">
        <v>47</v>
      </c>
      <c r="L236" s="153"/>
      <c r="M236" s="151"/>
      <c r="N236" s="151"/>
      <c r="O236" s="178"/>
      <c r="T236" s="139"/>
    </row>
    <row r="237" spans="2:20" ht="12.75" hidden="1">
      <c r="B237" s="150"/>
      <c r="C237" s="192">
        <f>C33</f>
        <v>0</v>
      </c>
      <c r="D237" s="192"/>
      <c r="E237" s="192"/>
      <c r="F237" s="153">
        <f>SUM($F221:F221)</f>
        <v>0</v>
      </c>
      <c r="G237" s="153">
        <f>IF(SUM($F142:F142)&gt;0,0,SUM($F221:G221))</f>
        <v>0</v>
      </c>
      <c r="H237" s="153">
        <f>IF(SUM($F142:G142)&gt;0,0,SUM($F221:H221))</f>
        <v>0</v>
      </c>
      <c r="I237" s="153">
        <f>IF(SUM($F142:H142)&gt;0,0,SUM($F221:I221))</f>
        <v>0</v>
      </c>
      <c r="J237" s="153">
        <f>IF(SUM($F142:I142)&gt;0,0,SUM($F221:J221))</f>
        <v>0</v>
      </c>
      <c r="K237" s="196">
        <f>IF(SUM($F142:J142)&gt;0,0,IF(($E33+$F33-1)&gt;5,-PV(J271,($E33+$F33-6),$G33),0))</f>
        <v>0</v>
      </c>
      <c r="L237" s="160"/>
      <c r="M237" s="151"/>
      <c r="N237" s="151"/>
      <c r="O237" s="178"/>
      <c r="T237" s="139"/>
    </row>
    <row r="238" spans="2:20" ht="12.75" hidden="1">
      <c r="B238" s="150"/>
      <c r="C238" s="192">
        <f>C34</f>
        <v>0</v>
      </c>
      <c r="D238" s="192"/>
      <c r="E238" s="192"/>
      <c r="F238" s="153">
        <f>SUM($F222:F222)</f>
        <v>0</v>
      </c>
      <c r="G238" s="153">
        <f>IF(SUM($F143:F143)&gt;0,0,SUM($F222:G222))</f>
        <v>0</v>
      </c>
      <c r="H238" s="153">
        <f>IF(SUM($F143:G143)&gt;0,0,SUM($F222:H222))</f>
        <v>0</v>
      </c>
      <c r="I238" s="153">
        <f>IF(SUM($F143:H143)&gt;0,0,SUM($F222:I222))</f>
        <v>0</v>
      </c>
      <c r="J238" s="153">
        <f>IF(SUM($F143:I143)&gt;0,0,SUM($F222:J222))</f>
        <v>0</v>
      </c>
      <c r="K238" s="196">
        <f>IF(SUM($F143:J143)&gt;0,0,IF(($E34+$F34-1)&gt;5,-PV(J271,($E34+$F34-6),$G34),0))</f>
        <v>0</v>
      </c>
      <c r="L238" s="153"/>
      <c r="M238" s="151"/>
      <c r="N238" s="151"/>
      <c r="O238" s="178"/>
      <c r="T238" s="139"/>
    </row>
    <row r="239" spans="2:20" ht="12.75" hidden="1">
      <c r="B239" s="150"/>
      <c r="C239" s="192">
        <f>C35</f>
        <v>0</v>
      </c>
      <c r="D239" s="192"/>
      <c r="E239" s="192"/>
      <c r="F239" s="153">
        <f>SUM($F223:F223)</f>
        <v>0</v>
      </c>
      <c r="G239" s="153">
        <f>IF(SUM($F144:F144)&gt;0,0,SUM($F223:G223))</f>
        <v>0</v>
      </c>
      <c r="H239" s="153">
        <f>IF(SUM($F144:G144)&gt;0,0,SUM($F223:H223))</f>
        <v>0</v>
      </c>
      <c r="I239" s="153">
        <f>IF(SUM($F144:H144)&gt;0,0,SUM($F223:I223))</f>
        <v>0</v>
      </c>
      <c r="J239" s="153">
        <f>IF(SUM($F144:I144)&gt;0,0,SUM($F223:J223))</f>
        <v>0</v>
      </c>
      <c r="K239" s="196">
        <f>IF(SUM($F144:J144)&gt;0,0,IF(($E35+$F35-1)&gt;5,-PV(J271,($E35+$F35-6),$G35),0))</f>
        <v>0</v>
      </c>
      <c r="L239" s="153"/>
      <c r="M239" s="151"/>
      <c r="N239" s="151"/>
      <c r="O239" s="178"/>
      <c r="T239" s="139"/>
    </row>
    <row r="240" spans="2:20" ht="12.75" hidden="1">
      <c r="B240" s="150"/>
      <c r="C240" s="192">
        <f>C36</f>
        <v>0</v>
      </c>
      <c r="D240" s="192"/>
      <c r="E240" s="192"/>
      <c r="F240" s="153">
        <f>SUM($F224:F224)</f>
        <v>0</v>
      </c>
      <c r="G240" s="153">
        <f>IF(SUM($F145:F145)&gt;0,0,SUM($F224:G224))</f>
        <v>0</v>
      </c>
      <c r="H240" s="153">
        <f>IF(SUM($F145:G145)&gt;0,0,SUM($F224:H224))</f>
        <v>0</v>
      </c>
      <c r="I240" s="153">
        <f>IF(SUM($F145:H145)&gt;0,0,SUM($F224:I224))</f>
        <v>0</v>
      </c>
      <c r="J240" s="153">
        <f>IF(SUM($F145:I145)&gt;0,0,SUM($F224:J224))</f>
        <v>0</v>
      </c>
      <c r="K240" s="196">
        <f>IF(SUM($F145:J145)&gt;0,0,IF(($E36+$F36-1)&gt;5,-PV(J271,($E36+$F36-6),$G36),0))</f>
        <v>0</v>
      </c>
      <c r="L240" s="153"/>
      <c r="M240" s="151"/>
      <c r="N240" s="151"/>
      <c r="O240" s="178"/>
      <c r="T240" s="139"/>
    </row>
    <row r="241" spans="2:20" ht="12.75" hidden="1">
      <c r="B241" s="150"/>
      <c r="C241" s="192">
        <f>C37</f>
        <v>0</v>
      </c>
      <c r="D241" s="192"/>
      <c r="E241" s="192"/>
      <c r="F241" s="153">
        <f>SUM($F225:F225)</f>
        <v>0</v>
      </c>
      <c r="G241" s="153">
        <f>IF(SUM($F146:F146)&gt;0,0,SUM($F225:G225))</f>
        <v>0</v>
      </c>
      <c r="H241" s="153">
        <f>IF(SUM($F146:G146)&gt;0,0,SUM($F225:H225))</f>
        <v>0</v>
      </c>
      <c r="I241" s="153">
        <f>IF(SUM($F146:H146)&gt;0,0,SUM($F225:I225))</f>
        <v>0</v>
      </c>
      <c r="J241" s="153">
        <f>IF(SUM($F146:I146)&gt;0,0,SUM($F225:J225))</f>
        <v>0</v>
      </c>
      <c r="K241" s="196">
        <f>IF(SUM($F146:J146)&gt;0,0,IF(($E37+$F37-1)&gt;5,-PV(J271,($E37+$F37-6),$G37),0))</f>
        <v>0</v>
      </c>
      <c r="L241" s="153"/>
      <c r="M241" s="151"/>
      <c r="N241" s="151"/>
      <c r="O241" s="178"/>
      <c r="T241" s="139"/>
    </row>
    <row r="242" spans="2:20" ht="12.75" hidden="1">
      <c r="B242" s="150"/>
      <c r="C242" s="192"/>
      <c r="D242" s="192"/>
      <c r="E242" s="192"/>
      <c r="F242" s="198">
        <f aca="true" t="shared" si="60" ref="F242:K242">SUM(F237:F241)</f>
        <v>0</v>
      </c>
      <c r="G242" s="198">
        <f t="shared" si="60"/>
        <v>0</v>
      </c>
      <c r="H242" s="198">
        <f t="shared" si="60"/>
        <v>0</v>
      </c>
      <c r="I242" s="198">
        <f t="shared" si="60"/>
        <v>0</v>
      </c>
      <c r="J242" s="198">
        <f t="shared" si="60"/>
        <v>0</v>
      </c>
      <c r="K242" s="199">
        <f t="shared" si="60"/>
        <v>0</v>
      </c>
      <c r="L242" s="153"/>
      <c r="M242" s="151"/>
      <c r="N242" s="151"/>
      <c r="O242" s="178"/>
      <c r="T242" s="139"/>
    </row>
    <row r="243" spans="2:20" ht="12.75" hidden="1">
      <c r="B243" s="150"/>
      <c r="C243" s="192" t="s">
        <v>71</v>
      </c>
      <c r="D243" s="192"/>
      <c r="E243" s="151"/>
      <c r="F243" s="198">
        <f>E216</f>
        <v>0</v>
      </c>
      <c r="G243" s="198">
        <f>F216</f>
        <v>0</v>
      </c>
      <c r="H243" s="198">
        <f>G216</f>
        <v>0</v>
      </c>
      <c r="I243" s="198">
        <f>H216</f>
        <v>0</v>
      </c>
      <c r="J243" s="198">
        <f>I216</f>
        <v>0</v>
      </c>
      <c r="K243" s="199">
        <f>J216+K216</f>
        <v>0</v>
      </c>
      <c r="L243" s="153"/>
      <c r="M243" s="151"/>
      <c r="N243" s="151"/>
      <c r="O243" s="178"/>
      <c r="T243" s="139"/>
    </row>
    <row r="244" spans="2:20" ht="3.75" customHeight="1" hidden="1">
      <c r="B244" s="150"/>
      <c r="C244" s="192"/>
      <c r="D244" s="192"/>
      <c r="E244" s="192"/>
      <c r="F244" s="153"/>
      <c r="G244" s="153"/>
      <c r="H244" s="153"/>
      <c r="I244" s="153"/>
      <c r="J244" s="153"/>
      <c r="K244" s="153"/>
      <c r="L244" s="153"/>
      <c r="M244" s="151"/>
      <c r="N244" s="151"/>
      <c r="O244" s="178"/>
      <c r="T244" s="139"/>
    </row>
    <row r="245" spans="2:20" ht="13.5" hidden="1" thickBot="1">
      <c r="B245" s="150"/>
      <c r="C245" s="192" t="s">
        <v>73</v>
      </c>
      <c r="D245" s="192"/>
      <c r="E245" s="192"/>
      <c r="F245" s="203">
        <f>(F234*Assumptions!$U$31)+F242+F243</f>
        <v>0</v>
      </c>
      <c r="G245" s="203">
        <f>(G234*Assumptions!$U$31)+G242+G243</f>
        <v>0</v>
      </c>
      <c r="H245" s="203">
        <f>(H234*Assumptions!$U$31)+H242+H243</f>
        <v>0</v>
      </c>
      <c r="I245" s="203">
        <f>(I234*Assumptions!$U$31)+I242+I243</f>
        <v>0</v>
      </c>
      <c r="J245" s="203">
        <f>(J234*Assumptions!$U$31)+J242+J243</f>
        <v>0</v>
      </c>
      <c r="K245" s="204">
        <f>(K234*Assumptions!$U$31)+K242+K243</f>
        <v>0</v>
      </c>
      <c r="L245" s="153"/>
      <c r="M245" s="151"/>
      <c r="N245" s="151"/>
      <c r="O245" s="178"/>
      <c r="T245" s="139"/>
    </row>
    <row r="246" spans="2:20" ht="12.75" hidden="1">
      <c r="B246" s="150"/>
      <c r="C246" s="192" t="s">
        <v>74</v>
      </c>
      <c r="D246" s="192"/>
      <c r="E246" s="192"/>
      <c r="F246" s="157">
        <f>AVERAGE(F245:G245)</f>
        <v>0</v>
      </c>
      <c r="G246" s="157">
        <f>AVERAGE(G245:H245)</f>
        <v>0</v>
      </c>
      <c r="H246" s="157">
        <f>AVERAGE(H245:I245)</f>
        <v>0</v>
      </c>
      <c r="I246" s="157">
        <f>AVERAGE(I245:J245)</f>
        <v>0</v>
      </c>
      <c r="J246" s="157">
        <f>AVERAGE(J245:K245)</f>
        <v>0</v>
      </c>
      <c r="K246" s="215"/>
      <c r="L246" s="153"/>
      <c r="M246" s="151"/>
      <c r="N246" s="151"/>
      <c r="O246" s="178"/>
      <c r="T246" s="139"/>
    </row>
    <row r="247" spans="2:20" ht="12.75" hidden="1">
      <c r="B247" s="150"/>
      <c r="C247" s="216" t="s">
        <v>83</v>
      </c>
      <c r="D247" s="192"/>
      <c r="E247" s="192"/>
      <c r="F247" s="153">
        <f>IF(Assumptions!$C$28="Beg",F245,F246)</f>
        <v>0</v>
      </c>
      <c r="G247" s="153">
        <f>IF(Assumptions!$C$28="Beg",G245,G246)</f>
        <v>0</v>
      </c>
      <c r="H247" s="153">
        <f>IF(Assumptions!$C$28="Beg",H245,H246)</f>
        <v>0</v>
      </c>
      <c r="I247" s="153">
        <f>IF(Assumptions!$C$28="Beg",I245,I246)</f>
        <v>0</v>
      </c>
      <c r="J247" s="153">
        <f>IF(Assumptions!$C$28="Beg",J245,J246)</f>
        <v>0</v>
      </c>
      <c r="K247" s="196">
        <f>K245</f>
        <v>0</v>
      </c>
      <c r="L247" s="192"/>
      <c r="M247" s="151"/>
      <c r="N247" s="151"/>
      <c r="O247" s="178"/>
      <c r="T247" s="139"/>
    </row>
    <row r="248" spans="2:20" ht="6" customHeight="1" hidden="1">
      <c r="B248" s="206"/>
      <c r="C248" s="217"/>
      <c r="D248" s="207"/>
      <c r="E248" s="207"/>
      <c r="F248" s="184"/>
      <c r="G248" s="184"/>
      <c r="H248" s="184"/>
      <c r="I248" s="184"/>
      <c r="J248" s="184"/>
      <c r="K248" s="207"/>
      <c r="L248" s="207"/>
      <c r="M248" s="183"/>
      <c r="N248" s="183"/>
      <c r="O248" s="185"/>
      <c r="T248" s="139"/>
    </row>
    <row r="249" spans="2:20" ht="6" customHeight="1" hidden="1">
      <c r="B249" s="143"/>
      <c r="C249" s="172"/>
      <c r="D249" s="208"/>
      <c r="E249" s="208"/>
      <c r="F249" s="155"/>
      <c r="G249" s="155"/>
      <c r="H249" s="155"/>
      <c r="I249" s="155"/>
      <c r="J249" s="155"/>
      <c r="K249" s="208"/>
      <c r="L249" s="208"/>
      <c r="M249" s="143"/>
      <c r="N249" s="143"/>
      <c r="O249" s="143"/>
      <c r="T249" s="139"/>
    </row>
    <row r="250" spans="2:20" ht="16.5" customHeight="1" collapsed="1">
      <c r="B250" s="189"/>
      <c r="C250" s="218" t="s">
        <v>131</v>
      </c>
      <c r="D250" s="191"/>
      <c r="E250" s="191"/>
      <c r="F250" s="190"/>
      <c r="G250" s="190"/>
      <c r="H250" s="190"/>
      <c r="I250" s="190"/>
      <c r="J250" s="190"/>
      <c r="K250" s="191"/>
      <c r="L250" s="191"/>
      <c r="M250" s="147"/>
      <c r="N250" s="147"/>
      <c r="O250" s="176"/>
      <c r="T250" s="139" t="b">
        <v>0</v>
      </c>
    </row>
    <row r="251" spans="2:20" ht="12.75" hidden="1">
      <c r="B251" s="150"/>
      <c r="C251" s="219" t="s">
        <v>132</v>
      </c>
      <c r="D251" s="192"/>
      <c r="E251" s="164">
        <f aca="true" t="shared" si="61" ref="E251:J251">E5</f>
        <v>2010</v>
      </c>
      <c r="F251" s="164">
        <f t="shared" si="61"/>
        <v>2011</v>
      </c>
      <c r="G251" s="164">
        <f t="shared" si="61"/>
        <v>2012</v>
      </c>
      <c r="H251" s="164">
        <f t="shared" si="61"/>
        <v>2013</v>
      </c>
      <c r="I251" s="164">
        <f t="shared" si="61"/>
        <v>2014</v>
      </c>
      <c r="J251" s="164">
        <f t="shared" si="61"/>
        <v>2015</v>
      </c>
      <c r="K251" s="209" t="s">
        <v>47</v>
      </c>
      <c r="L251" s="192"/>
      <c r="M251" s="151"/>
      <c r="N251" s="151"/>
      <c r="O251" s="178"/>
      <c r="T251" s="139"/>
    </row>
    <row r="252" spans="2:20" ht="12.75" hidden="1">
      <c r="B252" s="150"/>
      <c r="C252" s="216">
        <f>C33</f>
        <v>0</v>
      </c>
      <c r="D252" s="192"/>
      <c r="E252" s="192"/>
      <c r="F252" s="153">
        <f aca="true" t="shared" si="62" ref="F252:K256">F237*$N33</f>
        <v>0</v>
      </c>
      <c r="G252" s="153">
        <f t="shared" si="62"/>
        <v>0</v>
      </c>
      <c r="H252" s="153">
        <f t="shared" si="62"/>
        <v>0</v>
      </c>
      <c r="I252" s="153">
        <f t="shared" si="62"/>
        <v>0</v>
      </c>
      <c r="J252" s="153">
        <f t="shared" si="62"/>
        <v>0</v>
      </c>
      <c r="K252" s="196">
        <f t="shared" si="62"/>
        <v>0</v>
      </c>
      <c r="L252" s="192"/>
      <c r="M252" s="151"/>
      <c r="N252" s="151"/>
      <c r="O252" s="178"/>
      <c r="T252" s="139"/>
    </row>
    <row r="253" spans="2:20" ht="12.75" hidden="1">
      <c r="B253" s="150"/>
      <c r="C253" s="216">
        <f>C34</f>
        <v>0</v>
      </c>
      <c r="D253" s="192"/>
      <c r="E253" s="192"/>
      <c r="F253" s="153">
        <f t="shared" si="62"/>
        <v>0</v>
      </c>
      <c r="G253" s="153">
        <f t="shared" si="62"/>
        <v>0</v>
      </c>
      <c r="H253" s="153">
        <f t="shared" si="62"/>
        <v>0</v>
      </c>
      <c r="I253" s="153">
        <f t="shared" si="62"/>
        <v>0</v>
      </c>
      <c r="J253" s="153">
        <f t="shared" si="62"/>
        <v>0</v>
      </c>
      <c r="K253" s="196">
        <f t="shared" si="62"/>
        <v>0</v>
      </c>
      <c r="L253" s="192"/>
      <c r="M253" s="151"/>
      <c r="N253" s="151"/>
      <c r="O253" s="178"/>
      <c r="T253" s="139"/>
    </row>
    <row r="254" spans="2:20" ht="12.75" hidden="1">
      <c r="B254" s="150"/>
      <c r="C254" s="216">
        <f>C35</f>
        <v>0</v>
      </c>
      <c r="D254" s="192"/>
      <c r="E254" s="192"/>
      <c r="F254" s="153">
        <f t="shared" si="62"/>
        <v>0</v>
      </c>
      <c r="G254" s="153">
        <f t="shared" si="62"/>
        <v>0</v>
      </c>
      <c r="H254" s="153">
        <f t="shared" si="62"/>
        <v>0</v>
      </c>
      <c r="I254" s="153">
        <f t="shared" si="62"/>
        <v>0</v>
      </c>
      <c r="J254" s="153">
        <f t="shared" si="62"/>
        <v>0</v>
      </c>
      <c r="K254" s="196">
        <f t="shared" si="62"/>
        <v>0</v>
      </c>
      <c r="L254" s="192"/>
      <c r="M254" s="151"/>
      <c r="N254" s="151"/>
      <c r="O254" s="178"/>
      <c r="T254" s="139"/>
    </row>
    <row r="255" spans="2:20" ht="12.75" hidden="1">
      <c r="B255" s="150"/>
      <c r="C255" s="216">
        <f>C36</f>
        <v>0</v>
      </c>
      <c r="D255" s="192"/>
      <c r="E255" s="192"/>
      <c r="F255" s="153">
        <f t="shared" si="62"/>
        <v>0</v>
      </c>
      <c r="G255" s="153">
        <f t="shared" si="62"/>
        <v>0</v>
      </c>
      <c r="H255" s="153">
        <f t="shared" si="62"/>
        <v>0</v>
      </c>
      <c r="I255" s="153">
        <f t="shared" si="62"/>
        <v>0</v>
      </c>
      <c r="J255" s="153">
        <f t="shared" si="62"/>
        <v>0</v>
      </c>
      <c r="K255" s="196">
        <f t="shared" si="62"/>
        <v>0</v>
      </c>
      <c r="L255" s="192"/>
      <c r="M255" s="151"/>
      <c r="N255" s="151"/>
      <c r="O255" s="178"/>
      <c r="T255" s="139"/>
    </row>
    <row r="256" spans="2:20" ht="12.75" hidden="1">
      <c r="B256" s="150"/>
      <c r="C256" s="216">
        <f>C37</f>
        <v>0</v>
      </c>
      <c r="D256" s="192"/>
      <c r="E256" s="192"/>
      <c r="F256" s="153">
        <f t="shared" si="62"/>
        <v>0</v>
      </c>
      <c r="G256" s="153">
        <f t="shared" si="62"/>
        <v>0</v>
      </c>
      <c r="H256" s="153">
        <f t="shared" si="62"/>
        <v>0</v>
      </c>
      <c r="I256" s="153">
        <f t="shared" si="62"/>
        <v>0</v>
      </c>
      <c r="J256" s="153">
        <f t="shared" si="62"/>
        <v>0</v>
      </c>
      <c r="K256" s="196">
        <f t="shared" si="62"/>
        <v>0</v>
      </c>
      <c r="L256" s="192"/>
      <c r="M256" s="151"/>
      <c r="N256" s="151"/>
      <c r="O256" s="178"/>
      <c r="T256" s="139"/>
    </row>
    <row r="257" spans="2:20" ht="12.75" hidden="1">
      <c r="B257" s="150"/>
      <c r="C257" s="216"/>
      <c r="D257" s="192"/>
      <c r="E257" s="192"/>
      <c r="F257" s="198">
        <f aca="true" t="shared" si="63" ref="F257:K257">SUM(F252:F256)</f>
        <v>0</v>
      </c>
      <c r="G257" s="198">
        <f t="shared" si="63"/>
        <v>0</v>
      </c>
      <c r="H257" s="198">
        <f t="shared" si="63"/>
        <v>0</v>
      </c>
      <c r="I257" s="198">
        <f t="shared" si="63"/>
        <v>0</v>
      </c>
      <c r="J257" s="198">
        <f t="shared" si="63"/>
        <v>0</v>
      </c>
      <c r="K257" s="199">
        <f t="shared" si="63"/>
        <v>0</v>
      </c>
      <c r="L257" s="192"/>
      <c r="M257" s="151"/>
      <c r="N257" s="151"/>
      <c r="O257" s="178"/>
      <c r="T257" s="139"/>
    </row>
    <row r="258" spans="2:20" ht="12.75" hidden="1">
      <c r="B258" s="150"/>
      <c r="C258" s="219" t="s">
        <v>133</v>
      </c>
      <c r="D258" s="192"/>
      <c r="E258" s="192"/>
      <c r="F258" s="153"/>
      <c r="G258" s="153"/>
      <c r="H258" s="153"/>
      <c r="I258" s="153"/>
      <c r="J258" s="153"/>
      <c r="K258" s="192"/>
      <c r="L258" s="192"/>
      <c r="M258" s="151"/>
      <c r="N258" s="151"/>
      <c r="O258" s="178"/>
      <c r="T258" s="139"/>
    </row>
    <row r="259" spans="2:20" ht="12.75" hidden="1">
      <c r="B259" s="150"/>
      <c r="C259" s="216">
        <f>C33</f>
        <v>0</v>
      </c>
      <c r="D259" s="192"/>
      <c r="E259" s="192"/>
      <c r="F259" s="153">
        <f aca="true" t="shared" si="64" ref="F259:K263">F237*(1-$N33)</f>
        <v>0</v>
      </c>
      <c r="G259" s="153">
        <f t="shared" si="64"/>
        <v>0</v>
      </c>
      <c r="H259" s="153">
        <f t="shared" si="64"/>
        <v>0</v>
      </c>
      <c r="I259" s="153">
        <f t="shared" si="64"/>
        <v>0</v>
      </c>
      <c r="J259" s="153">
        <f t="shared" si="64"/>
        <v>0</v>
      </c>
      <c r="K259" s="196">
        <f t="shared" si="64"/>
        <v>0</v>
      </c>
      <c r="L259" s="192"/>
      <c r="M259" s="151"/>
      <c r="N259" s="151"/>
      <c r="O259" s="178"/>
      <c r="T259" s="139"/>
    </row>
    <row r="260" spans="2:20" ht="12.75" hidden="1">
      <c r="B260" s="150"/>
      <c r="C260" s="216">
        <f>C34</f>
        <v>0</v>
      </c>
      <c r="D260" s="192"/>
      <c r="E260" s="192"/>
      <c r="F260" s="153">
        <f t="shared" si="64"/>
        <v>0</v>
      </c>
      <c r="G260" s="153">
        <f t="shared" si="64"/>
        <v>0</v>
      </c>
      <c r="H260" s="153">
        <f t="shared" si="64"/>
        <v>0</v>
      </c>
      <c r="I260" s="153">
        <f t="shared" si="64"/>
        <v>0</v>
      </c>
      <c r="J260" s="153">
        <f t="shared" si="64"/>
        <v>0</v>
      </c>
      <c r="K260" s="196">
        <f t="shared" si="64"/>
        <v>0</v>
      </c>
      <c r="L260" s="192"/>
      <c r="M260" s="151"/>
      <c r="N260" s="151"/>
      <c r="O260" s="178"/>
      <c r="T260" s="139"/>
    </row>
    <row r="261" spans="2:20" ht="12.75" hidden="1">
      <c r="B261" s="150"/>
      <c r="C261" s="216">
        <f>C35</f>
        <v>0</v>
      </c>
      <c r="D261" s="192"/>
      <c r="E261" s="192"/>
      <c r="F261" s="153">
        <f t="shared" si="64"/>
        <v>0</v>
      </c>
      <c r="G261" s="153">
        <f t="shared" si="64"/>
        <v>0</v>
      </c>
      <c r="H261" s="153">
        <f t="shared" si="64"/>
        <v>0</v>
      </c>
      <c r="I261" s="153">
        <f t="shared" si="64"/>
        <v>0</v>
      </c>
      <c r="J261" s="153">
        <f t="shared" si="64"/>
        <v>0</v>
      </c>
      <c r="K261" s="196">
        <f t="shared" si="64"/>
        <v>0</v>
      </c>
      <c r="L261" s="192"/>
      <c r="M261" s="151"/>
      <c r="N261" s="151"/>
      <c r="O261" s="178"/>
      <c r="T261" s="139"/>
    </row>
    <row r="262" spans="2:20" ht="12.75" hidden="1">
      <c r="B262" s="150"/>
      <c r="C262" s="216">
        <f>C36</f>
        <v>0</v>
      </c>
      <c r="D262" s="192"/>
      <c r="E262" s="192"/>
      <c r="F262" s="153">
        <f t="shared" si="64"/>
        <v>0</v>
      </c>
      <c r="G262" s="153">
        <f t="shared" si="64"/>
        <v>0</v>
      </c>
      <c r="H262" s="153">
        <f t="shared" si="64"/>
        <v>0</v>
      </c>
      <c r="I262" s="153">
        <f t="shared" si="64"/>
        <v>0</v>
      </c>
      <c r="J262" s="153">
        <f t="shared" si="64"/>
        <v>0</v>
      </c>
      <c r="K262" s="196">
        <f t="shared" si="64"/>
        <v>0</v>
      </c>
      <c r="L262" s="192"/>
      <c r="M262" s="151"/>
      <c r="N262" s="151"/>
      <c r="O262" s="178"/>
      <c r="T262" s="139"/>
    </row>
    <row r="263" spans="2:20" ht="12.75" hidden="1">
      <c r="B263" s="150"/>
      <c r="C263" s="216">
        <f>C37</f>
        <v>0</v>
      </c>
      <c r="D263" s="192"/>
      <c r="E263" s="192"/>
      <c r="F263" s="153">
        <f t="shared" si="64"/>
        <v>0</v>
      </c>
      <c r="G263" s="153">
        <f t="shared" si="64"/>
        <v>0</v>
      </c>
      <c r="H263" s="153">
        <f t="shared" si="64"/>
        <v>0</v>
      </c>
      <c r="I263" s="153">
        <f t="shared" si="64"/>
        <v>0</v>
      </c>
      <c r="J263" s="153">
        <f t="shared" si="64"/>
        <v>0</v>
      </c>
      <c r="K263" s="196">
        <f t="shared" si="64"/>
        <v>0</v>
      </c>
      <c r="L263" s="192"/>
      <c r="M263" s="151"/>
      <c r="N263" s="151"/>
      <c r="O263" s="178"/>
      <c r="T263" s="139"/>
    </row>
    <row r="264" spans="2:20" ht="12.75" hidden="1">
      <c r="B264" s="150"/>
      <c r="C264" s="216"/>
      <c r="D264" s="192"/>
      <c r="E264" s="192"/>
      <c r="F264" s="198">
        <f aca="true" t="shared" si="65" ref="F264:K264">SUM(F259:F263)</f>
        <v>0</v>
      </c>
      <c r="G264" s="198">
        <f t="shared" si="65"/>
        <v>0</v>
      </c>
      <c r="H264" s="198">
        <f t="shared" si="65"/>
        <v>0</v>
      </c>
      <c r="I264" s="198">
        <f t="shared" si="65"/>
        <v>0</v>
      </c>
      <c r="J264" s="198">
        <f t="shared" si="65"/>
        <v>0</v>
      </c>
      <c r="K264" s="199">
        <f t="shared" si="65"/>
        <v>0</v>
      </c>
      <c r="L264" s="192"/>
      <c r="M264" s="151"/>
      <c r="N264" s="151"/>
      <c r="O264" s="178"/>
      <c r="T264" s="139"/>
    </row>
    <row r="265" spans="2:20" ht="4.5" customHeight="1" hidden="1">
      <c r="B265" s="150"/>
      <c r="C265" s="219"/>
      <c r="D265" s="192"/>
      <c r="E265" s="192"/>
      <c r="F265" s="153"/>
      <c r="G265" s="153"/>
      <c r="H265" s="153"/>
      <c r="I265" s="153"/>
      <c r="J265" s="153"/>
      <c r="K265" s="153"/>
      <c r="L265" s="192"/>
      <c r="M265" s="151"/>
      <c r="N265" s="151"/>
      <c r="O265" s="178"/>
      <c r="T265" s="139"/>
    </row>
    <row r="266" spans="2:20" ht="13.5" hidden="1" thickBot="1">
      <c r="B266" s="150"/>
      <c r="C266" s="202" t="s">
        <v>136</v>
      </c>
      <c r="D266" s="151"/>
      <c r="E266" s="151"/>
      <c r="F266" s="203">
        <f aca="true" t="shared" si="66" ref="F266:K266">F264*Kd</f>
        <v>0</v>
      </c>
      <c r="G266" s="203">
        <f t="shared" si="66"/>
        <v>0</v>
      </c>
      <c r="H266" s="203">
        <f t="shared" si="66"/>
        <v>0</v>
      </c>
      <c r="I266" s="203">
        <f t="shared" si="66"/>
        <v>0</v>
      </c>
      <c r="J266" s="203">
        <f t="shared" si="66"/>
        <v>0</v>
      </c>
      <c r="K266" s="204">
        <f t="shared" si="66"/>
        <v>0</v>
      </c>
      <c r="L266" s="192"/>
      <c r="M266" s="151"/>
      <c r="N266" s="151"/>
      <c r="O266" s="178"/>
      <c r="T266" s="139"/>
    </row>
    <row r="267" spans="2:20" ht="7.5" customHeight="1" hidden="1">
      <c r="B267" s="150"/>
      <c r="C267" s="151"/>
      <c r="D267" s="151"/>
      <c r="E267" s="151"/>
      <c r="F267" s="151"/>
      <c r="G267" s="151"/>
      <c r="H267" s="151"/>
      <c r="I267" s="151"/>
      <c r="J267" s="151"/>
      <c r="K267" s="192"/>
      <c r="L267" s="192"/>
      <c r="M267" s="151"/>
      <c r="N267" s="151"/>
      <c r="O267" s="178"/>
      <c r="T267" s="139"/>
    </row>
    <row r="268" spans="2:20" ht="12.75" hidden="1">
      <c r="B268" s="150"/>
      <c r="C268" s="219" t="s">
        <v>134</v>
      </c>
      <c r="D268" s="192"/>
      <c r="E268" s="153">
        <f>Assumptions!C20</f>
        <v>10000</v>
      </c>
      <c r="F268" s="153">
        <f aca="true" t="shared" si="67" ref="F268:K268">$E268+F257</f>
        <v>10000</v>
      </c>
      <c r="G268" s="153">
        <f t="shared" si="67"/>
        <v>10000</v>
      </c>
      <c r="H268" s="153">
        <f t="shared" si="67"/>
        <v>10000</v>
      </c>
      <c r="I268" s="153">
        <f t="shared" si="67"/>
        <v>10000</v>
      </c>
      <c r="J268" s="153">
        <f t="shared" si="67"/>
        <v>10000</v>
      </c>
      <c r="K268" s="196">
        <f t="shared" si="67"/>
        <v>10000</v>
      </c>
      <c r="L268" s="192"/>
      <c r="M268" s="151"/>
      <c r="N268" s="151"/>
      <c r="O268" s="178"/>
      <c r="T268" s="139"/>
    </row>
    <row r="269" spans="2:20" ht="12.75" hidden="1">
      <c r="B269" s="150"/>
      <c r="C269" s="219" t="s">
        <v>135</v>
      </c>
      <c r="D269" s="192"/>
      <c r="E269" s="153">
        <f>Assumptions!C23</f>
        <v>9000</v>
      </c>
      <c r="F269" s="153">
        <f aca="true" t="shared" si="68" ref="F269:K269">$E269+F264</f>
        <v>9000</v>
      </c>
      <c r="G269" s="153">
        <f t="shared" si="68"/>
        <v>9000</v>
      </c>
      <c r="H269" s="153">
        <f t="shared" si="68"/>
        <v>9000</v>
      </c>
      <c r="I269" s="153">
        <f t="shared" si="68"/>
        <v>9000</v>
      </c>
      <c r="J269" s="153">
        <f t="shared" si="68"/>
        <v>9000</v>
      </c>
      <c r="K269" s="196">
        <f t="shared" si="68"/>
        <v>9000</v>
      </c>
      <c r="L269" s="192"/>
      <c r="M269" s="151"/>
      <c r="N269" s="151"/>
      <c r="O269" s="178"/>
      <c r="T269" s="139"/>
    </row>
    <row r="270" spans="2:20" ht="6" customHeight="1" hidden="1">
      <c r="B270" s="150"/>
      <c r="C270" s="216"/>
      <c r="D270" s="192"/>
      <c r="E270" s="192"/>
      <c r="F270" s="153"/>
      <c r="G270" s="153"/>
      <c r="H270" s="153"/>
      <c r="I270" s="153"/>
      <c r="J270" s="153"/>
      <c r="K270" s="192"/>
      <c r="L270" s="192"/>
      <c r="M270" s="151"/>
      <c r="N270" s="151"/>
      <c r="O270" s="178"/>
      <c r="T270" s="139"/>
    </row>
    <row r="271" spans="2:20" ht="12.75" hidden="1">
      <c r="B271" s="150"/>
      <c r="C271" s="216" t="s">
        <v>137</v>
      </c>
      <c r="D271" s="192"/>
      <c r="E271" s="220">
        <f aca="true" t="shared" si="69" ref="E271:J271">((E268/SUM(E268:E269))*Ke)+((E269/SUM(E268:E269))*Kd*(1-Tax))</f>
        <v>0.10116315789473684</v>
      </c>
      <c r="F271" s="220">
        <f t="shared" si="69"/>
        <v>0.10116315789473684</v>
      </c>
      <c r="G271" s="220">
        <f t="shared" si="69"/>
        <v>0.10116315789473684</v>
      </c>
      <c r="H271" s="220">
        <f t="shared" si="69"/>
        <v>0.10116315789473684</v>
      </c>
      <c r="I271" s="220">
        <f t="shared" si="69"/>
        <v>0.10116315789473684</v>
      </c>
      <c r="J271" s="220">
        <f t="shared" si="69"/>
        <v>0.10116315789473684</v>
      </c>
      <c r="K271" s="221">
        <f>((K268/SUM(K268:K269))*Ke)+((K269/SUM(K268:K269))*Kd*(1-Tax))</f>
        <v>0.10116315789473684</v>
      </c>
      <c r="L271" s="192"/>
      <c r="M271" s="151"/>
      <c r="N271" s="151"/>
      <c r="O271" s="178"/>
      <c r="T271" s="139"/>
    </row>
    <row r="272" spans="2:20" ht="7.5" customHeight="1" hidden="1">
      <c r="B272" s="150"/>
      <c r="C272" s="192"/>
      <c r="D272" s="192"/>
      <c r="E272" s="192"/>
      <c r="F272" s="222"/>
      <c r="G272" s="222"/>
      <c r="H272" s="222"/>
      <c r="I272" s="222"/>
      <c r="J272" s="222"/>
      <c r="K272" s="222"/>
      <c r="L272" s="192"/>
      <c r="M272" s="151"/>
      <c r="N272" s="151"/>
      <c r="O272" s="178"/>
      <c r="T272" s="139"/>
    </row>
    <row r="273" spans="2:20" ht="12.75" hidden="1">
      <c r="B273" s="150"/>
      <c r="C273" s="192" t="s">
        <v>84</v>
      </c>
      <c r="D273" s="192"/>
      <c r="E273" s="192"/>
      <c r="F273" s="223">
        <f>1/(1+F271)^(F$98-(IF(Assumptions!$C$26="Mid",0.5,0)))</f>
        <v>0.9081306369819472</v>
      </c>
      <c r="G273" s="223">
        <f>1/(1+G271)^(G$98-(IF(Assumptions!$C$26="Mid",0.5,0)))</f>
        <v>0.8247012538252372</v>
      </c>
      <c r="H273" s="223">
        <f>1/(1+H271)^(H$98-(IF(Assumptions!$C$26="Mid",0.5,0)))</f>
        <v>0.7489364749561231</v>
      </c>
      <c r="I273" s="223">
        <f>1/(1+I271)^(I$98-(IF(Assumptions!$C$26="Mid",0.5,0)))</f>
        <v>0.6801321580609183</v>
      </c>
      <c r="J273" s="223">
        <f>1/(1+J271)^(J$98-(IF(Assumptions!$C$26="Mid",0.5,0)))</f>
        <v>0.6176488499317683</v>
      </c>
      <c r="K273" s="224">
        <f>1/(1+K271)^(6-(IF(Assumptions!$C$26="Mid",0.5,0)))</f>
        <v>0.5609058435197037</v>
      </c>
      <c r="L273" s="192"/>
      <c r="M273" s="151"/>
      <c r="N273" s="151"/>
      <c r="O273" s="178"/>
      <c r="T273" s="139"/>
    </row>
    <row r="274" spans="2:20" ht="6" customHeight="1" hidden="1">
      <c r="B274" s="206"/>
      <c r="C274" s="207"/>
      <c r="D274" s="207"/>
      <c r="E274" s="207"/>
      <c r="F274" s="225"/>
      <c r="G274" s="225"/>
      <c r="H274" s="225"/>
      <c r="I274" s="225"/>
      <c r="J274" s="225"/>
      <c r="K274" s="225"/>
      <c r="L274" s="207"/>
      <c r="M274" s="183"/>
      <c r="N274" s="183"/>
      <c r="O274" s="185"/>
      <c r="T274" s="139"/>
    </row>
    <row r="275" spans="2:20" ht="6" customHeight="1" hidden="1">
      <c r="B275" s="143"/>
      <c r="C275" s="208"/>
      <c r="D275" s="208"/>
      <c r="E275" s="208"/>
      <c r="F275" s="226"/>
      <c r="G275" s="226"/>
      <c r="H275" s="226"/>
      <c r="I275" s="226"/>
      <c r="J275" s="226"/>
      <c r="K275" s="208"/>
      <c r="L275" s="208"/>
      <c r="M275" s="143"/>
      <c r="N275" s="143"/>
      <c r="O275" s="143"/>
      <c r="T275" s="139"/>
    </row>
    <row r="276" spans="2:20" ht="16.5" customHeight="1" collapsed="1">
      <c r="B276" s="189"/>
      <c r="C276" s="146" t="s">
        <v>57</v>
      </c>
      <c r="D276" s="191"/>
      <c r="E276" s="227"/>
      <c r="F276" s="227"/>
      <c r="G276" s="227"/>
      <c r="H276" s="227"/>
      <c r="I276" s="227"/>
      <c r="J276" s="227"/>
      <c r="K276" s="191"/>
      <c r="L276" s="191"/>
      <c r="M276" s="147"/>
      <c r="N276" s="147"/>
      <c r="O276" s="176"/>
      <c r="T276" s="139" t="b">
        <v>0</v>
      </c>
    </row>
    <row r="277" spans="2:15" ht="12.75" hidden="1">
      <c r="B277" s="150"/>
      <c r="C277" s="192" t="s">
        <v>58</v>
      </c>
      <c r="D277" s="192"/>
      <c r="E277" s="192"/>
      <c r="F277" s="153">
        <f>SUM(F7:F8)</f>
        <v>0</v>
      </c>
      <c r="G277" s="153">
        <f>SUM(G7:G8)</f>
        <v>0</v>
      </c>
      <c r="H277" s="153">
        <f>SUM(H7:H8)</f>
        <v>0</v>
      </c>
      <c r="I277" s="153">
        <f>SUM(I7:I8)</f>
        <v>0</v>
      </c>
      <c r="J277" s="153">
        <f>SUM(J7:J8)</f>
        <v>0</v>
      </c>
      <c r="K277" s="210"/>
      <c r="L277" s="192"/>
      <c r="M277" s="151"/>
      <c r="N277" s="151"/>
      <c r="O277" s="178"/>
    </row>
    <row r="278" spans="2:15" ht="12.75" hidden="1">
      <c r="B278" s="150"/>
      <c r="C278" s="192" t="s">
        <v>59</v>
      </c>
      <c r="D278" s="192"/>
      <c r="E278" s="153">
        <f aca="true" t="shared" si="70" ref="E278:J278">SUM(E15:E16)+SUM(E19:E21)</f>
        <v>0</v>
      </c>
      <c r="F278" s="153">
        <f t="shared" si="70"/>
        <v>0</v>
      </c>
      <c r="G278" s="153">
        <f t="shared" si="70"/>
        <v>0</v>
      </c>
      <c r="H278" s="153">
        <f t="shared" si="70"/>
        <v>0</v>
      </c>
      <c r="I278" s="153">
        <f t="shared" si="70"/>
        <v>0</v>
      </c>
      <c r="J278" s="153">
        <f t="shared" si="70"/>
        <v>0</v>
      </c>
      <c r="K278" s="210"/>
      <c r="L278" s="192"/>
      <c r="M278" s="151"/>
      <c r="N278" s="151"/>
      <c r="O278" s="178"/>
    </row>
    <row r="279" spans="2:15" ht="12.75" hidden="1">
      <c r="B279" s="150"/>
      <c r="C279" s="192" t="s">
        <v>60</v>
      </c>
      <c r="D279" s="192"/>
      <c r="E279" s="192"/>
      <c r="F279" s="153">
        <f>F130</f>
        <v>0</v>
      </c>
      <c r="G279" s="153">
        <f>G130</f>
        <v>0</v>
      </c>
      <c r="H279" s="153">
        <f>H130</f>
        <v>0</v>
      </c>
      <c r="I279" s="153">
        <f>I130</f>
        <v>0</v>
      </c>
      <c r="J279" s="153">
        <f>J130</f>
        <v>0</v>
      </c>
      <c r="K279" s="196">
        <f>L130</f>
        <v>0</v>
      </c>
      <c r="L279" s="192"/>
      <c r="M279" s="151"/>
      <c r="N279" s="151"/>
      <c r="O279" s="178"/>
    </row>
    <row r="280" spans="2:15" ht="12.75" hidden="1">
      <c r="B280" s="150"/>
      <c r="C280" s="192" t="s">
        <v>61</v>
      </c>
      <c r="D280" s="192"/>
      <c r="E280" s="228"/>
      <c r="F280" s="157">
        <f aca="true" t="shared" si="71" ref="F280:K280">F166</f>
        <v>0</v>
      </c>
      <c r="G280" s="157">
        <f t="shared" si="71"/>
        <v>0</v>
      </c>
      <c r="H280" s="157">
        <f t="shared" si="71"/>
        <v>0</v>
      </c>
      <c r="I280" s="157">
        <f t="shared" si="71"/>
        <v>0</v>
      </c>
      <c r="J280" s="157">
        <f t="shared" si="71"/>
        <v>0</v>
      </c>
      <c r="K280" s="229">
        <f t="shared" si="71"/>
        <v>0</v>
      </c>
      <c r="L280" s="192"/>
      <c r="M280" s="151"/>
      <c r="N280" s="151"/>
      <c r="O280" s="178"/>
    </row>
    <row r="281" spans="2:15" ht="12.75" hidden="1">
      <c r="B281" s="150"/>
      <c r="C281" s="192" t="s">
        <v>62</v>
      </c>
      <c r="D281" s="192"/>
      <c r="E281" s="153">
        <f aca="true" t="shared" si="72" ref="E281:K281">E277-E278-E279+E280</f>
        <v>0</v>
      </c>
      <c r="F281" s="153">
        <f t="shared" si="72"/>
        <v>0</v>
      </c>
      <c r="G281" s="153">
        <f t="shared" si="72"/>
        <v>0</v>
      </c>
      <c r="H281" s="153">
        <f t="shared" si="72"/>
        <v>0</v>
      </c>
      <c r="I281" s="153">
        <f t="shared" si="72"/>
        <v>0</v>
      </c>
      <c r="J281" s="153">
        <f t="shared" si="72"/>
        <v>0</v>
      </c>
      <c r="K281" s="196">
        <f t="shared" si="72"/>
        <v>0</v>
      </c>
      <c r="L281" s="192"/>
      <c r="M281" s="151"/>
      <c r="N281" s="151"/>
      <c r="O281" s="178"/>
    </row>
    <row r="282" spans="2:15" ht="3.75" customHeight="1" hidden="1">
      <c r="B282" s="150"/>
      <c r="C282" s="192"/>
      <c r="D282" s="192"/>
      <c r="E282" s="192"/>
      <c r="F282" s="192"/>
      <c r="G282" s="192"/>
      <c r="H282" s="192"/>
      <c r="I282" s="192"/>
      <c r="J282" s="192"/>
      <c r="K282" s="192"/>
      <c r="L282" s="192"/>
      <c r="M282" s="151"/>
      <c r="N282" s="151"/>
      <c r="O282" s="178"/>
    </row>
    <row r="283" spans="2:15" ht="13.5" hidden="1" thickBot="1">
      <c r="B283" s="150"/>
      <c r="C283" s="192" t="s">
        <v>63</v>
      </c>
      <c r="D283" s="192"/>
      <c r="E283" s="230">
        <f>-E281*Tax</f>
        <v>0</v>
      </c>
      <c r="F283" s="230">
        <f aca="true" t="shared" si="73" ref="F283:K283">-F281*Tax</f>
        <v>0</v>
      </c>
      <c r="G283" s="230">
        <f t="shared" si="73"/>
        <v>0</v>
      </c>
      <c r="H283" s="230">
        <f t="shared" si="73"/>
        <v>0</v>
      </c>
      <c r="I283" s="230">
        <f t="shared" si="73"/>
        <v>0</v>
      </c>
      <c r="J283" s="230">
        <f t="shared" si="73"/>
        <v>0</v>
      </c>
      <c r="K283" s="231">
        <f t="shared" si="73"/>
        <v>0</v>
      </c>
      <c r="L283" s="192"/>
      <c r="M283" s="151"/>
      <c r="N283" s="151"/>
      <c r="O283" s="178"/>
    </row>
    <row r="284" spans="2:15" ht="12.75" hidden="1">
      <c r="B284" s="150"/>
      <c r="C284" s="192" t="s">
        <v>64</v>
      </c>
      <c r="D284" s="151"/>
      <c r="E284" s="232">
        <f>IF(E283&gt;0,0,E283)</f>
        <v>0</v>
      </c>
      <c r="F284" s="232">
        <f>IF(SUM($E283:F283)&gt;0,0,(SUM($E283:F283)-SUM($E284:E284)))</f>
        <v>0</v>
      </c>
      <c r="G284" s="232">
        <f>IF(SUM($E283:G283)&gt;0,0,(SUM($E283:G283)-SUM($E284:F284)))</f>
        <v>0</v>
      </c>
      <c r="H284" s="232">
        <f>IF(SUM($E283:H283)&gt;0,0,(SUM($E283:H283)-SUM($E284:G284)))</f>
        <v>0</v>
      </c>
      <c r="I284" s="232">
        <f>IF(SUM($E283:I283)&gt;0,0,(SUM($E283:I283)-SUM($E284:H284)))</f>
        <v>0</v>
      </c>
      <c r="J284" s="232">
        <f>IF(SUM($E283:J283)&gt;0,0,(SUM($E283:J283)-SUM($E284:I284)))</f>
        <v>0</v>
      </c>
      <c r="K284" s="233">
        <f>((SUM($E283:K283)-SUM($E284:J284)))</f>
        <v>0</v>
      </c>
      <c r="L284" s="151"/>
      <c r="M284" s="151"/>
      <c r="N284" s="151"/>
      <c r="O284" s="178"/>
    </row>
    <row r="285" spans="2:15" ht="12.75" hidden="1">
      <c r="B285" s="150"/>
      <c r="C285" s="216" t="s">
        <v>83</v>
      </c>
      <c r="D285" s="151"/>
      <c r="E285" s="234">
        <f>IF(Assumptions!$U$20=1,E284,E283)</f>
        <v>0</v>
      </c>
      <c r="F285" s="234">
        <f>IF(Assumptions!$U$20=1,F284,F283)</f>
        <v>0</v>
      </c>
      <c r="G285" s="234">
        <f>IF(Assumptions!$U$20=1,G284,G283)</f>
        <v>0</v>
      </c>
      <c r="H285" s="234">
        <f>IF(Assumptions!$U$20=1,H284,H283)</f>
        <v>0</v>
      </c>
      <c r="I285" s="234">
        <f>IF(Assumptions!$U$20=1,I284,I283)</f>
        <v>0</v>
      </c>
      <c r="J285" s="234">
        <f>IF(Assumptions!$U$20=1,J284,J283)</f>
        <v>0</v>
      </c>
      <c r="K285" s="234">
        <f>IF(Assumptions!$U$20=1,K284,K283)</f>
        <v>0</v>
      </c>
      <c r="L285" s="151"/>
      <c r="M285" s="151"/>
      <c r="N285" s="151"/>
      <c r="O285" s="178"/>
    </row>
    <row r="286" spans="2:15" ht="11.25" customHeight="1" collapsed="1">
      <c r="B286" s="206"/>
      <c r="C286" s="183"/>
      <c r="D286" s="183"/>
      <c r="E286" s="183"/>
      <c r="F286" s="183"/>
      <c r="G286" s="183"/>
      <c r="H286" s="183"/>
      <c r="I286" s="183"/>
      <c r="J286" s="183"/>
      <c r="K286" s="183"/>
      <c r="L286" s="183"/>
      <c r="M286" s="183"/>
      <c r="N286" s="183"/>
      <c r="O286" s="185"/>
    </row>
  </sheetData>
  <sheetProtection/>
  <mergeCells count="18">
    <mergeCell ref="E31:I31"/>
    <mergeCell ref="J31:K31"/>
    <mergeCell ref="L31:M31"/>
    <mergeCell ref="L11:N11"/>
    <mergeCell ref="L12:N12"/>
    <mergeCell ref="K23:M23"/>
    <mergeCell ref="E23:G23"/>
    <mergeCell ref="H23:J23"/>
    <mergeCell ref="B2:O2"/>
    <mergeCell ref="B40:O40"/>
    <mergeCell ref="L21:N21"/>
    <mergeCell ref="L4:N4"/>
    <mergeCell ref="L15:N15"/>
    <mergeCell ref="L16:N16"/>
    <mergeCell ref="L19:N19"/>
    <mergeCell ref="L20:N20"/>
    <mergeCell ref="L7:N7"/>
    <mergeCell ref="L8:N8"/>
  </mergeCells>
  <dataValidations count="3">
    <dataValidation type="list" allowBlank="1" showInputMessage="1" showErrorMessage="1" sqref="K33:K37 I30 M25:M29 L30 J25:J29 M33:M37">
      <formula1>$T$24:$T$25</formula1>
    </dataValidation>
    <dataValidation type="list" allowBlank="1" showInputMessage="1" showErrorMessage="1" sqref="F33:F37">
      <formula1>$T$33:$T$37</formula1>
    </dataValidation>
    <dataValidation type="list" allowBlank="1" showInputMessage="1" showErrorMessage="1" sqref="K19:K21">
      <formula1>$T$33:$T$42</formula1>
    </dataValidation>
  </dataValidations>
  <printOptions horizontalCentered="1"/>
  <pageMargins left="0.35433070866141736" right="0.35433070866141736" top="0.3937007874015748" bottom="0.3937007874015748" header="0.5118110236220472" footer="0.5118110236220472"/>
  <pageSetup horizontalDpi="200" verticalDpi="200" orientation="landscape" r:id="rId3"/>
  <headerFooter alignWithMargins="0">
    <oddFooter>&amp;LPage &amp;P of &amp;N&amp;C&amp;F&amp;" "&amp;A&amp;R&amp;D</oddFooter>
  </headerFooter>
  <rowBreaks count="8" manualBreakCount="8">
    <brk id="39" max="255" man="1"/>
    <brk id="77" max="255" man="1"/>
    <brk id="96" max="255" man="1"/>
    <brk id="132" max="255" man="1"/>
    <brk id="166" max="255" man="1"/>
    <brk id="185" max="255" man="1"/>
    <brk id="218" max="255" man="1"/>
    <brk id="249" max="255" man="1"/>
  </rowBreaks>
  <drawing r:id="rId2"/>
  <legacyDrawing r:id="rId1"/>
</worksheet>
</file>

<file path=xl/worksheets/sheet3.xml><?xml version="1.0" encoding="utf-8"?>
<worksheet xmlns="http://schemas.openxmlformats.org/spreadsheetml/2006/main" xmlns:r="http://schemas.openxmlformats.org/officeDocument/2006/relationships">
  <sheetPr codeName="Sheet4"/>
  <dimension ref="B2:T286"/>
  <sheetViews>
    <sheetView showGridLines="0" workbookViewId="0" topLeftCell="A1">
      <selection activeCell="C7" sqref="C7"/>
    </sheetView>
  </sheetViews>
  <sheetFormatPr defaultColWidth="9.140625" defaultRowHeight="12.75"/>
  <cols>
    <col min="1" max="1" width="1.57421875" style="0" customWidth="1"/>
    <col min="2" max="2" width="6.421875" style="0" customWidth="1"/>
    <col min="3" max="3" width="23.8515625" style="0" customWidth="1"/>
    <col min="4" max="4" width="1.1484375" style="0" customWidth="1"/>
    <col min="13" max="14" width="10.28125" style="0" bestFit="1" customWidth="1"/>
    <col min="15" max="15" width="0.85546875" style="0" customWidth="1"/>
  </cols>
  <sheetData>
    <row r="1" ht="6.75" customHeight="1"/>
    <row r="2" spans="2:15" ht="15">
      <c r="B2" s="285" t="str">
        <f>"INPUT ASSUMPTIONS FOR "&amp;TEXT(Assumptions!D5,"0")</f>
        <v>INPUT ASSUMPTIONS FOR New Investment</v>
      </c>
      <c r="C2" s="286"/>
      <c r="D2" s="286"/>
      <c r="E2" s="286"/>
      <c r="F2" s="286"/>
      <c r="G2" s="286"/>
      <c r="H2" s="286"/>
      <c r="I2" s="286"/>
      <c r="J2" s="286"/>
      <c r="K2" s="286"/>
      <c r="L2" s="286"/>
      <c r="M2" s="286"/>
      <c r="N2" s="286"/>
      <c r="O2" s="287"/>
    </row>
    <row r="3" spans="2:15" ht="4.5" customHeight="1">
      <c r="B3" s="8"/>
      <c r="C3" s="8"/>
      <c r="D3" s="8"/>
      <c r="E3" s="8"/>
      <c r="F3" s="8"/>
      <c r="G3" s="8"/>
      <c r="H3" s="8"/>
      <c r="I3" s="8"/>
      <c r="J3" s="8"/>
      <c r="K3" s="8"/>
      <c r="L3" s="8"/>
      <c r="M3" s="8"/>
      <c r="N3" s="8"/>
      <c r="O3" s="8"/>
    </row>
    <row r="4" spans="2:15" ht="12.75">
      <c r="B4" s="57" t="str">
        <f>Assumptions!F8</f>
        <v>$000</v>
      </c>
      <c r="C4" s="58" t="s">
        <v>172</v>
      </c>
      <c r="D4" s="5"/>
      <c r="E4" s="40" t="s">
        <v>0</v>
      </c>
      <c r="F4" s="40" t="s">
        <v>1</v>
      </c>
      <c r="G4" s="40" t="s">
        <v>2</v>
      </c>
      <c r="H4" s="40" t="s">
        <v>3</v>
      </c>
      <c r="I4" s="40" t="s">
        <v>4</v>
      </c>
      <c r="J4" s="40" t="s">
        <v>5</v>
      </c>
      <c r="K4" s="40" t="s">
        <v>6</v>
      </c>
      <c r="L4" s="294" t="s">
        <v>113</v>
      </c>
      <c r="M4" s="294"/>
      <c r="N4" s="294"/>
      <c r="O4" s="6"/>
    </row>
    <row r="5" spans="2:15" ht="12.75" customHeight="1">
      <c r="B5" s="7"/>
      <c r="C5" s="8"/>
      <c r="D5" s="8"/>
      <c r="E5" s="52">
        <f>F5-1</f>
        <v>2010</v>
      </c>
      <c r="F5" s="52">
        <f>Assumptions!C8</f>
        <v>2011</v>
      </c>
      <c r="G5" s="52">
        <f>F5+1</f>
        <v>2012</v>
      </c>
      <c r="H5" s="52">
        <f>G5+1</f>
        <v>2013</v>
      </c>
      <c r="I5" s="52">
        <f>H5+1</f>
        <v>2014</v>
      </c>
      <c r="J5" s="52">
        <f>I5+1</f>
        <v>2015</v>
      </c>
      <c r="K5" s="8"/>
      <c r="L5" s="8"/>
      <c r="M5" s="8"/>
      <c r="N5" s="8"/>
      <c r="O5" s="9"/>
    </row>
    <row r="6" spans="2:15" ht="12.75">
      <c r="B6" s="7"/>
      <c r="C6" s="49" t="s">
        <v>7</v>
      </c>
      <c r="D6" s="8"/>
      <c r="E6" s="8"/>
      <c r="F6" s="8"/>
      <c r="G6" s="8"/>
      <c r="H6" s="8"/>
      <c r="I6" s="8"/>
      <c r="J6" s="8"/>
      <c r="K6" s="8"/>
      <c r="L6" s="8"/>
      <c r="M6" s="8"/>
      <c r="N6" s="8"/>
      <c r="O6" s="9"/>
    </row>
    <row r="7" spans="2:15" ht="12.75">
      <c r="B7" s="7"/>
      <c r="C7" s="94"/>
      <c r="D7" s="14"/>
      <c r="E7" s="22"/>
      <c r="F7" s="96"/>
      <c r="G7" s="97"/>
      <c r="H7" s="97"/>
      <c r="I7" s="97"/>
      <c r="J7" s="98"/>
      <c r="K7" s="3">
        <f>SUM(F7:J7)</f>
        <v>0</v>
      </c>
      <c r="L7" s="295"/>
      <c r="M7" s="296"/>
      <c r="N7" s="297"/>
      <c r="O7" s="9"/>
    </row>
    <row r="8" spans="2:15" ht="12.75">
      <c r="B8" s="7"/>
      <c r="C8" s="95"/>
      <c r="D8" s="14"/>
      <c r="E8" s="22"/>
      <c r="F8" s="99"/>
      <c r="G8" s="100"/>
      <c r="H8" s="100"/>
      <c r="I8" s="100"/>
      <c r="J8" s="101"/>
      <c r="K8" s="39">
        <f>SUM(F8:J8)</f>
        <v>0</v>
      </c>
      <c r="L8" s="298"/>
      <c r="M8" s="299"/>
      <c r="N8" s="300"/>
      <c r="O8" s="9"/>
    </row>
    <row r="9" spans="2:15" ht="6.75" customHeight="1">
      <c r="B9" s="7"/>
      <c r="C9" s="8"/>
      <c r="D9" s="8"/>
      <c r="E9" s="50"/>
      <c r="F9" s="50"/>
      <c r="G9" s="50"/>
      <c r="H9" s="50"/>
      <c r="I9" s="50"/>
      <c r="J9" s="50"/>
      <c r="K9" s="8"/>
      <c r="L9" s="8"/>
      <c r="M9" s="8"/>
      <c r="N9" s="8"/>
      <c r="O9" s="9"/>
    </row>
    <row r="10" spans="2:15" ht="12.75">
      <c r="B10" s="7"/>
      <c r="C10" s="49" t="s">
        <v>8</v>
      </c>
      <c r="D10" s="8"/>
      <c r="E10" s="50"/>
      <c r="F10" s="50"/>
      <c r="G10" s="50"/>
      <c r="H10" s="50"/>
      <c r="I10" s="50"/>
      <c r="J10" s="50"/>
      <c r="K10" s="8"/>
      <c r="L10" s="8"/>
      <c r="M10" s="8"/>
      <c r="N10" s="8"/>
      <c r="O10" s="9"/>
    </row>
    <row r="11" spans="2:15" ht="12.75">
      <c r="B11" s="7"/>
      <c r="C11" s="94"/>
      <c r="D11" s="14"/>
      <c r="E11" s="96"/>
      <c r="F11" s="97"/>
      <c r="G11" s="97"/>
      <c r="H11" s="97"/>
      <c r="I11" s="97"/>
      <c r="J11" s="98"/>
      <c r="K11" s="3">
        <f>SUM(F11:J11)</f>
        <v>0</v>
      </c>
      <c r="L11" s="295"/>
      <c r="M11" s="296"/>
      <c r="N11" s="297"/>
      <c r="O11" s="9"/>
    </row>
    <row r="12" spans="2:15" ht="12.75">
      <c r="B12" s="7"/>
      <c r="C12" s="95"/>
      <c r="D12" s="14"/>
      <c r="E12" s="99"/>
      <c r="F12" s="100"/>
      <c r="G12" s="100"/>
      <c r="H12" s="100"/>
      <c r="I12" s="100"/>
      <c r="J12" s="101"/>
      <c r="K12" s="39">
        <f>SUM(F12:J12)</f>
        <v>0</v>
      </c>
      <c r="L12" s="298"/>
      <c r="M12" s="299"/>
      <c r="N12" s="300"/>
      <c r="O12" s="9"/>
    </row>
    <row r="13" spans="2:15" ht="6" customHeight="1">
      <c r="B13" s="7"/>
      <c r="C13" s="8"/>
      <c r="D13" s="8"/>
      <c r="E13" s="50"/>
      <c r="F13" s="50"/>
      <c r="G13" s="50"/>
      <c r="H13" s="50"/>
      <c r="I13" s="50"/>
      <c r="J13" s="50"/>
      <c r="K13" s="8"/>
      <c r="L13" s="8"/>
      <c r="M13" s="8"/>
      <c r="N13" s="8"/>
      <c r="O13" s="9"/>
    </row>
    <row r="14" spans="2:15" ht="12.75">
      <c r="B14" s="7"/>
      <c r="C14" s="49" t="s">
        <v>46</v>
      </c>
      <c r="D14" s="8"/>
      <c r="E14" s="50"/>
      <c r="F14" s="50"/>
      <c r="G14" s="50"/>
      <c r="H14" s="50"/>
      <c r="I14" s="50"/>
      <c r="J14" s="50"/>
      <c r="K14" s="8"/>
      <c r="L14" s="8"/>
      <c r="M14" s="8"/>
      <c r="N14" s="8"/>
      <c r="O14" s="9"/>
    </row>
    <row r="15" spans="2:15" ht="12.75">
      <c r="B15" s="7"/>
      <c r="C15" s="94"/>
      <c r="D15" s="14"/>
      <c r="E15" s="96"/>
      <c r="F15" s="97"/>
      <c r="G15" s="97"/>
      <c r="H15" s="97"/>
      <c r="I15" s="97"/>
      <c r="J15" s="97"/>
      <c r="K15" s="3">
        <f>SUM(E15:J15)</f>
        <v>0</v>
      </c>
      <c r="L15" s="295"/>
      <c r="M15" s="296"/>
      <c r="N15" s="297"/>
      <c r="O15" s="9"/>
    </row>
    <row r="16" spans="2:15" ht="12.75">
      <c r="B16" s="7"/>
      <c r="C16" s="95"/>
      <c r="D16" s="14"/>
      <c r="E16" s="99"/>
      <c r="F16" s="100"/>
      <c r="G16" s="100"/>
      <c r="H16" s="100"/>
      <c r="I16" s="100"/>
      <c r="J16" s="100"/>
      <c r="K16" s="39">
        <f>SUM(E16:J16)</f>
        <v>0</v>
      </c>
      <c r="L16" s="298"/>
      <c r="M16" s="299"/>
      <c r="N16" s="300"/>
      <c r="O16" s="9"/>
    </row>
    <row r="17" spans="2:15" ht="6.75" customHeight="1">
      <c r="B17" s="7"/>
      <c r="C17" s="8"/>
      <c r="D17" s="8"/>
      <c r="E17" s="50"/>
      <c r="F17" s="50"/>
      <c r="G17" s="50"/>
      <c r="H17" s="50"/>
      <c r="I17" s="50"/>
      <c r="J17" s="50"/>
      <c r="K17" s="8"/>
      <c r="L17" s="8"/>
      <c r="M17" s="8"/>
      <c r="N17" s="8"/>
      <c r="O17" s="9"/>
    </row>
    <row r="18" spans="2:15" ht="12.75">
      <c r="B18" s="7"/>
      <c r="C18" s="49" t="s">
        <v>69</v>
      </c>
      <c r="D18" s="8"/>
      <c r="E18" s="50"/>
      <c r="F18" s="50"/>
      <c r="G18" s="50"/>
      <c r="H18" s="50"/>
      <c r="I18" s="50"/>
      <c r="J18" s="50"/>
      <c r="K18" s="53" t="s">
        <v>164</v>
      </c>
      <c r="L18" s="8"/>
      <c r="M18" s="8"/>
      <c r="N18" s="8"/>
      <c r="O18" s="9"/>
    </row>
    <row r="19" spans="2:16" ht="12.75">
      <c r="B19" s="7"/>
      <c r="C19" s="94"/>
      <c r="D19" s="14"/>
      <c r="E19" s="96"/>
      <c r="F19" s="97"/>
      <c r="G19" s="97"/>
      <c r="H19" s="97"/>
      <c r="I19" s="97"/>
      <c r="J19" s="97"/>
      <c r="K19" s="104">
        <v>1</v>
      </c>
      <c r="L19" s="295"/>
      <c r="M19" s="296"/>
      <c r="N19" s="297"/>
      <c r="O19" s="9"/>
      <c r="P19" s="54">
        <f>IF(K19="","Amort Yrs must be entered!","")</f>
      </c>
    </row>
    <row r="20" spans="2:16" ht="12.75">
      <c r="B20" s="7"/>
      <c r="C20" s="102"/>
      <c r="D20" s="14"/>
      <c r="E20" s="105"/>
      <c r="F20" s="106"/>
      <c r="G20" s="106"/>
      <c r="H20" s="106"/>
      <c r="I20" s="106"/>
      <c r="J20" s="106"/>
      <c r="K20" s="107">
        <v>1</v>
      </c>
      <c r="L20" s="301"/>
      <c r="M20" s="302"/>
      <c r="N20" s="303"/>
      <c r="O20" s="9"/>
      <c r="P20" s="54">
        <f>IF(K20="","Amort Yrs must be entered!","")</f>
      </c>
    </row>
    <row r="21" spans="2:16" ht="12.75">
      <c r="B21" s="7"/>
      <c r="C21" s="103"/>
      <c r="D21" s="14"/>
      <c r="E21" s="108"/>
      <c r="F21" s="109"/>
      <c r="G21" s="109"/>
      <c r="H21" s="109"/>
      <c r="I21" s="109"/>
      <c r="J21" s="109"/>
      <c r="K21" s="110">
        <v>1</v>
      </c>
      <c r="L21" s="291"/>
      <c r="M21" s="292"/>
      <c r="N21" s="293"/>
      <c r="O21" s="9"/>
      <c r="P21" s="54">
        <f>IF(K21="","Amort Yrs must be entered!","")</f>
      </c>
    </row>
    <row r="22" spans="2:15" ht="6.75" customHeight="1">
      <c r="B22" s="7"/>
      <c r="C22" s="8"/>
      <c r="D22" s="8"/>
      <c r="E22" s="8"/>
      <c r="F22" s="8"/>
      <c r="G22" s="8"/>
      <c r="H22" s="8"/>
      <c r="I22" s="8"/>
      <c r="J22" s="8"/>
      <c r="K22" s="8"/>
      <c r="L22" s="8"/>
      <c r="M22" s="8"/>
      <c r="N22" s="8"/>
      <c r="O22" s="9"/>
    </row>
    <row r="23" spans="2:15" ht="12.75">
      <c r="B23" s="7"/>
      <c r="C23" s="49" t="s">
        <v>48</v>
      </c>
      <c r="D23" s="8"/>
      <c r="E23" s="304" t="s">
        <v>38</v>
      </c>
      <c r="F23" s="304"/>
      <c r="G23" s="304"/>
      <c r="H23" s="304" t="s">
        <v>10</v>
      </c>
      <c r="I23" s="304"/>
      <c r="J23" s="304"/>
      <c r="K23" s="304" t="s">
        <v>15</v>
      </c>
      <c r="L23" s="304"/>
      <c r="M23" s="304"/>
      <c r="N23" s="55" t="s">
        <v>114</v>
      </c>
      <c r="O23" s="9"/>
    </row>
    <row r="24" spans="2:20" ht="12.75">
      <c r="B24" s="7"/>
      <c r="C24" s="8"/>
      <c r="D24" s="8"/>
      <c r="E24" s="4" t="s">
        <v>35</v>
      </c>
      <c r="F24" s="4" t="s">
        <v>11</v>
      </c>
      <c r="G24" s="4" t="s">
        <v>157</v>
      </c>
      <c r="H24" s="4" t="s">
        <v>12</v>
      </c>
      <c r="I24" s="4" t="s">
        <v>13</v>
      </c>
      <c r="J24" s="4" t="s">
        <v>14</v>
      </c>
      <c r="K24" s="4" t="s">
        <v>12</v>
      </c>
      <c r="L24" s="4" t="s">
        <v>13</v>
      </c>
      <c r="M24" s="4" t="s">
        <v>14</v>
      </c>
      <c r="N24" s="56" t="s">
        <v>87</v>
      </c>
      <c r="O24" s="9"/>
      <c r="T24" s="79" t="s">
        <v>16</v>
      </c>
    </row>
    <row r="25" spans="2:20" ht="12.75">
      <c r="B25" s="7"/>
      <c r="C25" s="94"/>
      <c r="D25" s="14"/>
      <c r="E25" s="111"/>
      <c r="F25" s="112"/>
      <c r="G25" s="113"/>
      <c r="H25" s="96"/>
      <c r="I25" s="114"/>
      <c r="J25" s="115"/>
      <c r="K25" s="96"/>
      <c r="L25" s="114"/>
      <c r="M25" s="115"/>
      <c r="N25" s="104"/>
      <c r="O25" s="9"/>
      <c r="T25" s="79" t="s">
        <v>36</v>
      </c>
    </row>
    <row r="26" spans="2:20" ht="12.75">
      <c r="B26" s="7"/>
      <c r="C26" s="102"/>
      <c r="D26" s="14"/>
      <c r="E26" s="116"/>
      <c r="F26" s="117"/>
      <c r="G26" s="118"/>
      <c r="H26" s="105"/>
      <c r="I26" s="119"/>
      <c r="J26" s="120"/>
      <c r="K26" s="105"/>
      <c r="L26" s="119"/>
      <c r="M26" s="120"/>
      <c r="N26" s="107"/>
      <c r="O26" s="9"/>
      <c r="T26" s="79"/>
    </row>
    <row r="27" spans="2:20" ht="12.75">
      <c r="B27" s="7"/>
      <c r="C27" s="102"/>
      <c r="D27" s="14"/>
      <c r="E27" s="116"/>
      <c r="F27" s="117"/>
      <c r="G27" s="118"/>
      <c r="H27" s="105"/>
      <c r="I27" s="119"/>
      <c r="J27" s="120"/>
      <c r="K27" s="105"/>
      <c r="L27" s="119"/>
      <c r="M27" s="120"/>
      <c r="N27" s="107"/>
      <c r="O27" s="51"/>
      <c r="T27" s="79"/>
    </row>
    <row r="28" spans="2:20" ht="12.75">
      <c r="B28" s="7"/>
      <c r="C28" s="102"/>
      <c r="D28" s="14"/>
      <c r="E28" s="116"/>
      <c r="F28" s="117"/>
      <c r="G28" s="118"/>
      <c r="H28" s="105"/>
      <c r="I28" s="119"/>
      <c r="J28" s="120"/>
      <c r="K28" s="105"/>
      <c r="L28" s="119"/>
      <c r="M28" s="120"/>
      <c r="N28" s="107"/>
      <c r="O28" s="9"/>
      <c r="T28" s="79"/>
    </row>
    <row r="29" spans="2:20" ht="12.75">
      <c r="B29" s="7"/>
      <c r="C29" s="103"/>
      <c r="D29" s="14"/>
      <c r="E29" s="121"/>
      <c r="F29" s="122"/>
      <c r="G29" s="123"/>
      <c r="H29" s="108"/>
      <c r="I29" s="124"/>
      <c r="J29" s="125"/>
      <c r="K29" s="108"/>
      <c r="L29" s="124"/>
      <c r="M29" s="125"/>
      <c r="N29" s="110"/>
      <c r="O29" s="9"/>
      <c r="T29" s="79"/>
    </row>
    <row r="30" spans="2:20" ht="6.75" customHeight="1">
      <c r="B30" s="7"/>
      <c r="C30" s="8"/>
      <c r="D30" s="8"/>
      <c r="E30" s="8"/>
      <c r="F30" s="8"/>
      <c r="G30" s="8"/>
      <c r="H30" s="8"/>
      <c r="I30" s="8"/>
      <c r="J30" s="8"/>
      <c r="K30" s="8"/>
      <c r="L30" s="8"/>
      <c r="M30" s="8"/>
      <c r="N30" s="8"/>
      <c r="O30" s="9"/>
      <c r="T30" s="79"/>
    </row>
    <row r="31" spans="2:20" ht="12.75">
      <c r="B31" s="7"/>
      <c r="C31" s="49" t="s">
        <v>9</v>
      </c>
      <c r="D31" s="8"/>
      <c r="E31" s="304" t="s">
        <v>37</v>
      </c>
      <c r="F31" s="304"/>
      <c r="G31" s="304"/>
      <c r="H31" s="304"/>
      <c r="I31" s="304"/>
      <c r="J31" s="304" t="s">
        <v>10</v>
      </c>
      <c r="K31" s="304"/>
      <c r="L31" s="304" t="s">
        <v>15</v>
      </c>
      <c r="M31" s="304"/>
      <c r="N31" s="36" t="s">
        <v>102</v>
      </c>
      <c r="O31" s="9"/>
      <c r="T31" s="79"/>
    </row>
    <row r="32" spans="2:20" ht="12.75">
      <c r="B32" s="7"/>
      <c r="C32" s="8"/>
      <c r="D32" s="8"/>
      <c r="E32" s="4" t="s">
        <v>35</v>
      </c>
      <c r="F32" s="4" t="s">
        <v>39</v>
      </c>
      <c r="G32" s="4" t="s">
        <v>40</v>
      </c>
      <c r="H32" s="4" t="s">
        <v>171</v>
      </c>
      <c r="I32" s="4" t="s">
        <v>157</v>
      </c>
      <c r="J32" s="4" t="s">
        <v>13</v>
      </c>
      <c r="K32" s="4" t="s">
        <v>14</v>
      </c>
      <c r="L32" s="4" t="s">
        <v>13</v>
      </c>
      <c r="M32" s="4" t="s">
        <v>14</v>
      </c>
      <c r="N32" s="37" t="s">
        <v>103</v>
      </c>
      <c r="O32" s="9"/>
      <c r="T32" s="79">
        <v>0</v>
      </c>
    </row>
    <row r="33" spans="2:20" ht="12.75">
      <c r="B33" s="7"/>
      <c r="C33" s="94"/>
      <c r="D33" s="14"/>
      <c r="E33" s="111"/>
      <c r="F33" s="126"/>
      <c r="G33" s="97"/>
      <c r="H33" s="97"/>
      <c r="I33" s="113"/>
      <c r="J33" s="127"/>
      <c r="K33" s="115"/>
      <c r="L33" s="114"/>
      <c r="M33" s="115"/>
      <c r="N33" s="128">
        <f>IF(ISERROR(Assumptions!$C$20/(Assumptions!$C$20+Assumptions!$C$23)),"",Assumptions!$C$20/(Assumptions!$C$20+Assumptions!$C$23))</f>
        <v>0.5263157894736842</v>
      </c>
      <c r="O33" s="9"/>
      <c r="T33" s="79">
        <v>1</v>
      </c>
    </row>
    <row r="34" spans="2:20" ht="12.75">
      <c r="B34" s="7"/>
      <c r="C34" s="102"/>
      <c r="D34" s="14"/>
      <c r="E34" s="116"/>
      <c r="F34" s="129"/>
      <c r="G34" s="106"/>
      <c r="H34" s="106"/>
      <c r="I34" s="118"/>
      <c r="J34" s="130"/>
      <c r="K34" s="120"/>
      <c r="L34" s="119"/>
      <c r="M34" s="120"/>
      <c r="N34" s="131">
        <f>IF(ISERROR(Assumptions!$C$20/(Assumptions!$C$20+Assumptions!$C$23)),"",Assumptions!$C$20/(Assumptions!$C$20+Assumptions!$C$23))</f>
        <v>0.5263157894736842</v>
      </c>
      <c r="O34" s="9"/>
      <c r="T34" s="79">
        <v>2</v>
      </c>
    </row>
    <row r="35" spans="2:20" ht="12.75">
      <c r="B35" s="7"/>
      <c r="C35" s="102"/>
      <c r="D35" s="14"/>
      <c r="E35" s="116"/>
      <c r="F35" s="129"/>
      <c r="G35" s="106"/>
      <c r="H35" s="106"/>
      <c r="I35" s="118"/>
      <c r="J35" s="130"/>
      <c r="K35" s="120"/>
      <c r="L35" s="119"/>
      <c r="M35" s="120"/>
      <c r="N35" s="131">
        <f>IF(ISERROR(Assumptions!$C$20/(Assumptions!$C$20+Assumptions!$C$23)),"",Assumptions!$C$20/(Assumptions!$C$20+Assumptions!$C$23))</f>
        <v>0.5263157894736842</v>
      </c>
      <c r="O35" s="9"/>
      <c r="T35" s="79">
        <v>3</v>
      </c>
    </row>
    <row r="36" spans="2:20" ht="12.75">
      <c r="B36" s="7"/>
      <c r="C36" s="102"/>
      <c r="D36" s="14"/>
      <c r="E36" s="116"/>
      <c r="F36" s="129"/>
      <c r="G36" s="106"/>
      <c r="H36" s="106"/>
      <c r="I36" s="118"/>
      <c r="J36" s="130"/>
      <c r="K36" s="120"/>
      <c r="L36" s="119"/>
      <c r="M36" s="120"/>
      <c r="N36" s="131">
        <f>IF(ISERROR(Assumptions!$C$20/(Assumptions!$C$20+Assumptions!$C$23)),"",Assumptions!$C$20/(Assumptions!$C$20+Assumptions!$C$23))</f>
        <v>0.5263157894736842</v>
      </c>
      <c r="O36" s="9"/>
      <c r="T36" s="79">
        <v>4</v>
      </c>
    </row>
    <row r="37" spans="2:20" ht="12.75">
      <c r="B37" s="7"/>
      <c r="C37" s="103"/>
      <c r="D37" s="14"/>
      <c r="E37" s="121"/>
      <c r="F37" s="132"/>
      <c r="G37" s="109"/>
      <c r="H37" s="109"/>
      <c r="I37" s="123"/>
      <c r="J37" s="133"/>
      <c r="K37" s="125"/>
      <c r="L37" s="124"/>
      <c r="M37" s="125"/>
      <c r="N37" s="134">
        <f>IF(ISERROR(Assumptions!$C$20/(Assumptions!$C$20+Assumptions!$C$23)),"",Assumptions!$C$20/(Assumptions!$C$20+Assumptions!$C$23))</f>
        <v>0.5263157894736842</v>
      </c>
      <c r="O37" s="9"/>
      <c r="T37" s="79">
        <v>5</v>
      </c>
    </row>
    <row r="38" spans="2:20" ht="6" customHeight="1">
      <c r="B38" s="16"/>
      <c r="C38" s="17"/>
      <c r="D38" s="17"/>
      <c r="E38" s="17"/>
      <c r="F38" s="17"/>
      <c r="G38" s="17"/>
      <c r="H38" s="17"/>
      <c r="I38" s="17"/>
      <c r="J38" s="17"/>
      <c r="K38" s="17"/>
      <c r="L38" s="17"/>
      <c r="M38" s="17"/>
      <c r="N38" s="17"/>
      <c r="O38" s="18"/>
      <c r="T38" s="79">
        <v>6</v>
      </c>
    </row>
    <row r="39" spans="2:20" ht="6" customHeight="1">
      <c r="B39" s="8"/>
      <c r="C39" s="8"/>
      <c r="D39" s="8"/>
      <c r="E39" s="8"/>
      <c r="F39" s="8"/>
      <c r="G39" s="8"/>
      <c r="H39" s="8"/>
      <c r="I39" s="8"/>
      <c r="J39" s="8"/>
      <c r="K39" s="8"/>
      <c r="L39" s="8"/>
      <c r="M39" s="8"/>
      <c r="N39" s="8"/>
      <c r="O39" s="8"/>
      <c r="T39" s="79">
        <v>7</v>
      </c>
    </row>
    <row r="40" spans="2:20" ht="15">
      <c r="B40" s="288" t="str">
        <f>"FINANCIAL ANALYSIS FOR "&amp;TEXT(Assumptions!D5,"0")</f>
        <v>FINANCIAL ANALYSIS FOR New Investment</v>
      </c>
      <c r="C40" s="289"/>
      <c r="D40" s="289"/>
      <c r="E40" s="289"/>
      <c r="F40" s="289"/>
      <c r="G40" s="289"/>
      <c r="H40" s="289"/>
      <c r="I40" s="289"/>
      <c r="J40" s="289"/>
      <c r="K40" s="289"/>
      <c r="L40" s="289"/>
      <c r="M40" s="289"/>
      <c r="N40" s="289"/>
      <c r="O40" s="290"/>
      <c r="T40" s="79">
        <v>8</v>
      </c>
    </row>
    <row r="41" spans="2:20" ht="5.25" customHeight="1">
      <c r="B41" s="143"/>
      <c r="C41" s="143"/>
      <c r="D41" s="143"/>
      <c r="E41" s="144"/>
      <c r="F41" s="144"/>
      <c r="G41" s="144"/>
      <c r="H41" s="144"/>
      <c r="I41" s="144"/>
      <c r="J41" s="144"/>
      <c r="K41" s="143"/>
      <c r="L41" s="143"/>
      <c r="M41" s="143"/>
      <c r="N41" s="143"/>
      <c r="O41" s="143"/>
      <c r="T41" s="79">
        <v>9</v>
      </c>
    </row>
    <row r="42" spans="2:20" ht="12.75">
      <c r="B42" s="145" t="str">
        <f>B4</f>
        <v>$000</v>
      </c>
      <c r="C42" s="146" t="s">
        <v>162</v>
      </c>
      <c r="D42" s="147"/>
      <c r="E42" s="148">
        <f aca="true" t="shared" si="0" ref="E42:J42">E5</f>
        <v>2010</v>
      </c>
      <c r="F42" s="148">
        <f t="shared" si="0"/>
        <v>2011</v>
      </c>
      <c r="G42" s="148">
        <f t="shared" si="0"/>
        <v>2012</v>
      </c>
      <c r="H42" s="148">
        <f t="shared" si="0"/>
        <v>2013</v>
      </c>
      <c r="I42" s="148">
        <f t="shared" si="0"/>
        <v>2014</v>
      </c>
      <c r="J42" s="148">
        <f t="shared" si="0"/>
        <v>2015</v>
      </c>
      <c r="K42" s="149" t="s">
        <v>6</v>
      </c>
      <c r="L42" s="143"/>
      <c r="M42" s="143"/>
      <c r="N42" s="143"/>
      <c r="O42" s="143"/>
      <c r="T42" s="79">
        <v>10</v>
      </c>
    </row>
    <row r="43" spans="2:15" ht="7.5" customHeight="1">
      <c r="B43" s="150"/>
      <c r="C43" s="151"/>
      <c r="D43" s="151"/>
      <c r="E43" s="151"/>
      <c r="F43" s="151"/>
      <c r="G43" s="151"/>
      <c r="H43" s="151"/>
      <c r="I43" s="151"/>
      <c r="J43" s="151"/>
      <c r="K43" s="152"/>
      <c r="L43" s="143"/>
      <c r="M43" s="143"/>
      <c r="N43" s="143"/>
      <c r="O43" s="143"/>
    </row>
    <row r="44" spans="2:15" ht="12.75">
      <c r="B44" s="150"/>
      <c r="C44" s="151" t="s">
        <v>138</v>
      </c>
      <c r="D44" s="151"/>
      <c r="E44" s="153">
        <f aca="true" t="shared" si="1" ref="E44:J44">SUM(E7:E8)+SUM(E11:E12)</f>
        <v>0</v>
      </c>
      <c r="F44" s="153">
        <f t="shared" si="1"/>
        <v>0</v>
      </c>
      <c r="G44" s="153">
        <f t="shared" si="1"/>
        <v>0</v>
      </c>
      <c r="H44" s="153">
        <f t="shared" si="1"/>
        <v>0</v>
      </c>
      <c r="I44" s="153">
        <f t="shared" si="1"/>
        <v>0</v>
      </c>
      <c r="J44" s="153">
        <f t="shared" si="1"/>
        <v>0</v>
      </c>
      <c r="K44" s="154">
        <f>SUM(E44:J44)</f>
        <v>0</v>
      </c>
      <c r="L44" s="155"/>
      <c r="M44" s="143"/>
      <c r="N44" s="143"/>
      <c r="O44" s="143"/>
    </row>
    <row r="45" spans="2:15" ht="12.75">
      <c r="B45" s="156" t="s">
        <v>139</v>
      </c>
      <c r="C45" s="151" t="s">
        <v>140</v>
      </c>
      <c r="D45" s="151"/>
      <c r="E45" s="157">
        <f aca="true" t="shared" si="2" ref="E45:J45">-(SUM(E15:E16)+SUM(E19:E21))</f>
        <v>0</v>
      </c>
      <c r="F45" s="157">
        <f t="shared" si="2"/>
        <v>0</v>
      </c>
      <c r="G45" s="157">
        <f t="shared" si="2"/>
        <v>0</v>
      </c>
      <c r="H45" s="157">
        <f t="shared" si="2"/>
        <v>0</v>
      </c>
      <c r="I45" s="157">
        <f t="shared" si="2"/>
        <v>0</v>
      </c>
      <c r="J45" s="157">
        <f t="shared" si="2"/>
        <v>0</v>
      </c>
      <c r="K45" s="158">
        <f>SUM(E45:J45)</f>
        <v>0</v>
      </c>
      <c r="L45" s="155"/>
      <c r="M45" s="143"/>
      <c r="N45" s="143"/>
      <c r="O45" s="143"/>
    </row>
    <row r="46" spans="2:15" ht="12.75">
      <c r="B46" s="156"/>
      <c r="C46" s="151" t="s">
        <v>141</v>
      </c>
      <c r="D46" s="151"/>
      <c r="E46" s="153">
        <f aca="true" t="shared" si="3" ref="E46:J46">SUM(E44:E45)</f>
        <v>0</v>
      </c>
      <c r="F46" s="153">
        <f t="shared" si="3"/>
        <v>0</v>
      </c>
      <c r="G46" s="153">
        <f t="shared" si="3"/>
        <v>0</v>
      </c>
      <c r="H46" s="153">
        <f t="shared" si="3"/>
        <v>0</v>
      </c>
      <c r="I46" s="153">
        <f t="shared" si="3"/>
        <v>0</v>
      </c>
      <c r="J46" s="153">
        <f t="shared" si="3"/>
        <v>0</v>
      </c>
      <c r="K46" s="154">
        <f>SUM(E46:J46)</f>
        <v>0</v>
      </c>
      <c r="L46" s="155"/>
      <c r="M46" s="143"/>
      <c r="N46" s="143"/>
      <c r="O46" s="143"/>
    </row>
    <row r="47" spans="2:15" ht="4.5" customHeight="1">
      <c r="B47" s="156"/>
      <c r="C47" s="151"/>
      <c r="D47" s="151"/>
      <c r="E47" s="153"/>
      <c r="F47" s="153"/>
      <c r="G47" s="153"/>
      <c r="H47" s="153"/>
      <c r="I47" s="153"/>
      <c r="J47" s="153"/>
      <c r="K47" s="154"/>
      <c r="L47" s="155"/>
      <c r="M47" s="143"/>
      <c r="N47" s="143"/>
      <c r="O47" s="143"/>
    </row>
    <row r="48" spans="2:15" ht="12.75">
      <c r="B48" s="156" t="s">
        <v>139</v>
      </c>
      <c r="C48" s="151" t="s">
        <v>142</v>
      </c>
      <c r="D48" s="151"/>
      <c r="E48" s="153">
        <f aca="true" t="shared" si="4" ref="E48:J48">-E113</f>
        <v>0</v>
      </c>
      <c r="F48" s="153">
        <f t="shared" si="4"/>
        <v>0</v>
      </c>
      <c r="G48" s="153">
        <f t="shared" si="4"/>
        <v>0</v>
      </c>
      <c r="H48" s="153">
        <f t="shared" si="4"/>
        <v>0</v>
      </c>
      <c r="I48" s="153">
        <f t="shared" si="4"/>
        <v>0</v>
      </c>
      <c r="J48" s="153">
        <f t="shared" si="4"/>
        <v>0</v>
      </c>
      <c r="K48" s="154">
        <f>SUM(E48:J48)</f>
        <v>0</v>
      </c>
      <c r="L48" s="155"/>
      <c r="M48" s="143"/>
      <c r="N48" s="143"/>
      <c r="O48" s="143"/>
    </row>
    <row r="49" spans="2:15" ht="12.75">
      <c r="B49" s="156" t="s">
        <v>139</v>
      </c>
      <c r="C49" s="151" t="s">
        <v>143</v>
      </c>
      <c r="D49" s="151"/>
      <c r="E49" s="157">
        <f aca="true" t="shared" si="5" ref="E49:J49">-E202</f>
        <v>0</v>
      </c>
      <c r="F49" s="157">
        <f t="shared" si="5"/>
        <v>0</v>
      </c>
      <c r="G49" s="157">
        <f t="shared" si="5"/>
        <v>0</v>
      </c>
      <c r="H49" s="157">
        <f t="shared" si="5"/>
        <v>0</v>
      </c>
      <c r="I49" s="157">
        <f t="shared" si="5"/>
        <v>0</v>
      </c>
      <c r="J49" s="157">
        <f t="shared" si="5"/>
        <v>0</v>
      </c>
      <c r="K49" s="158">
        <f>SUM(E49:J49)</f>
        <v>0</v>
      </c>
      <c r="L49" s="155"/>
      <c r="M49" s="143"/>
      <c r="N49" s="143"/>
      <c r="O49" s="143"/>
    </row>
    <row r="50" spans="2:15" ht="12.75">
      <c r="B50" s="156"/>
      <c r="C50" s="151" t="s">
        <v>144</v>
      </c>
      <c r="D50" s="151"/>
      <c r="E50" s="153">
        <f aca="true" t="shared" si="6" ref="E50:J50">E46+SUM(E48:E49)</f>
        <v>0</v>
      </c>
      <c r="F50" s="153">
        <f t="shared" si="6"/>
        <v>0</v>
      </c>
      <c r="G50" s="153">
        <f t="shared" si="6"/>
        <v>0</v>
      </c>
      <c r="H50" s="153">
        <f t="shared" si="6"/>
        <v>0</v>
      </c>
      <c r="I50" s="153">
        <f t="shared" si="6"/>
        <v>0</v>
      </c>
      <c r="J50" s="153">
        <f t="shared" si="6"/>
        <v>0</v>
      </c>
      <c r="K50" s="154">
        <f>SUM(E50:J50)</f>
        <v>0</v>
      </c>
      <c r="L50" s="155"/>
      <c r="M50" s="143"/>
      <c r="N50" s="143"/>
      <c r="O50" s="143"/>
    </row>
    <row r="51" spans="2:15" ht="4.5" customHeight="1">
      <c r="B51" s="156"/>
      <c r="C51" s="159"/>
      <c r="D51" s="151"/>
      <c r="E51" s="160"/>
      <c r="F51" s="160"/>
      <c r="G51" s="160"/>
      <c r="H51" s="160"/>
      <c r="I51" s="160"/>
      <c r="J51" s="160"/>
      <c r="K51" s="161"/>
      <c r="L51" s="155"/>
      <c r="M51" s="143"/>
      <c r="N51" s="143"/>
      <c r="O51" s="143"/>
    </row>
    <row r="52" spans="2:15" ht="12" customHeight="1">
      <c r="B52" s="156" t="s">
        <v>139</v>
      </c>
      <c r="C52" s="162" t="s">
        <v>136</v>
      </c>
      <c r="D52" s="151"/>
      <c r="E52" s="153">
        <f aca="true" t="shared" si="7" ref="E52:J52">-E266</f>
        <v>0</v>
      </c>
      <c r="F52" s="153">
        <f t="shared" si="7"/>
        <v>0</v>
      </c>
      <c r="G52" s="153">
        <f t="shared" si="7"/>
        <v>0</v>
      </c>
      <c r="H52" s="153">
        <f t="shared" si="7"/>
        <v>0</v>
      </c>
      <c r="I52" s="153">
        <f t="shared" si="7"/>
        <v>0</v>
      </c>
      <c r="J52" s="153">
        <f t="shared" si="7"/>
        <v>0</v>
      </c>
      <c r="K52" s="154">
        <f>SUM(E52:J52)</f>
        <v>0</v>
      </c>
      <c r="L52" s="155"/>
      <c r="M52" s="143"/>
      <c r="N52" s="143"/>
      <c r="O52" s="143"/>
    </row>
    <row r="53" spans="2:15" ht="12.75">
      <c r="B53" s="156" t="s">
        <v>139</v>
      </c>
      <c r="C53" s="162" t="s">
        <v>82</v>
      </c>
      <c r="D53" s="151"/>
      <c r="E53" s="157">
        <f aca="true" t="shared" si="8" ref="E53:J53">E285</f>
        <v>0</v>
      </c>
      <c r="F53" s="157">
        <f t="shared" si="8"/>
        <v>0</v>
      </c>
      <c r="G53" s="157">
        <f t="shared" si="8"/>
        <v>0</v>
      </c>
      <c r="H53" s="157">
        <f t="shared" si="8"/>
        <v>0</v>
      </c>
      <c r="I53" s="157">
        <f t="shared" si="8"/>
        <v>0</v>
      </c>
      <c r="J53" s="157">
        <f t="shared" si="8"/>
        <v>0</v>
      </c>
      <c r="K53" s="158">
        <f>SUM(E53:J53)</f>
        <v>0</v>
      </c>
      <c r="L53" s="155"/>
      <c r="M53" s="143"/>
      <c r="N53" s="143"/>
      <c r="O53" s="143"/>
    </row>
    <row r="54" spans="2:15" ht="12.75">
      <c r="B54" s="156"/>
      <c r="C54" s="162" t="s">
        <v>145</v>
      </c>
      <c r="D54" s="151"/>
      <c r="E54" s="153">
        <f aca="true" t="shared" si="9" ref="E54:J54">E50+SUM(E52:E53)</f>
        <v>0</v>
      </c>
      <c r="F54" s="153">
        <f t="shared" si="9"/>
        <v>0</v>
      </c>
      <c r="G54" s="153">
        <f t="shared" si="9"/>
        <v>0</v>
      </c>
      <c r="H54" s="153">
        <f t="shared" si="9"/>
        <v>0</v>
      </c>
      <c r="I54" s="153">
        <f t="shared" si="9"/>
        <v>0</v>
      </c>
      <c r="J54" s="153">
        <f t="shared" si="9"/>
        <v>0</v>
      </c>
      <c r="K54" s="154">
        <f>SUM(E54:J54)</f>
        <v>0</v>
      </c>
      <c r="L54" s="155"/>
      <c r="M54" s="143"/>
      <c r="N54" s="143"/>
      <c r="O54" s="143"/>
    </row>
    <row r="55" spans="2:15" ht="5.25" customHeight="1">
      <c r="B55" s="156"/>
      <c r="C55" s="163"/>
      <c r="D55" s="151"/>
      <c r="E55" s="164"/>
      <c r="F55" s="164"/>
      <c r="G55" s="164"/>
      <c r="H55" s="164"/>
      <c r="I55" s="164"/>
      <c r="J55" s="164"/>
      <c r="K55" s="165"/>
      <c r="L55" s="155"/>
      <c r="M55" s="143"/>
      <c r="N55" s="143"/>
      <c r="O55" s="143"/>
    </row>
    <row r="56" spans="2:15" ht="12.75" customHeight="1">
      <c r="B56" s="156" t="s">
        <v>146</v>
      </c>
      <c r="C56" s="162" t="s">
        <v>147</v>
      </c>
      <c r="D56" s="151"/>
      <c r="E56" s="153">
        <f aca="true" t="shared" si="10" ref="E56:J56">E183</f>
        <v>0</v>
      </c>
      <c r="F56" s="153">
        <f t="shared" si="10"/>
        <v>0</v>
      </c>
      <c r="G56" s="153">
        <f t="shared" si="10"/>
        <v>0</v>
      </c>
      <c r="H56" s="153">
        <f t="shared" si="10"/>
        <v>0</v>
      </c>
      <c r="I56" s="153">
        <f t="shared" si="10"/>
        <v>0</v>
      </c>
      <c r="J56" s="153">
        <f t="shared" si="10"/>
        <v>0</v>
      </c>
      <c r="K56" s="154">
        <f>SUM(E56:J56)</f>
        <v>0</v>
      </c>
      <c r="L56" s="155"/>
      <c r="M56" s="143"/>
      <c r="N56" s="143"/>
      <c r="O56" s="143"/>
    </row>
    <row r="57" spans="2:15" ht="13.5" thickBot="1">
      <c r="B57" s="156"/>
      <c r="C57" s="163" t="s">
        <v>148</v>
      </c>
      <c r="D57" s="163"/>
      <c r="E57" s="166">
        <f aca="true" t="shared" si="11" ref="E57:J57">E54+E56</f>
        <v>0</v>
      </c>
      <c r="F57" s="166">
        <f t="shared" si="11"/>
        <v>0</v>
      </c>
      <c r="G57" s="166">
        <f t="shared" si="11"/>
        <v>0</v>
      </c>
      <c r="H57" s="166">
        <f t="shared" si="11"/>
        <v>0</v>
      </c>
      <c r="I57" s="166">
        <f t="shared" si="11"/>
        <v>0</v>
      </c>
      <c r="J57" s="166">
        <f t="shared" si="11"/>
        <v>0</v>
      </c>
      <c r="K57" s="167">
        <f>SUM(E57:J57)</f>
        <v>0</v>
      </c>
      <c r="L57" s="155"/>
      <c r="M57" s="143"/>
      <c r="N57" s="143"/>
      <c r="O57" s="143"/>
    </row>
    <row r="58" spans="2:15" ht="4.5" customHeight="1">
      <c r="B58" s="168"/>
      <c r="C58" s="169"/>
      <c r="D58" s="169"/>
      <c r="E58" s="170"/>
      <c r="F58" s="170"/>
      <c r="G58" s="170"/>
      <c r="H58" s="170"/>
      <c r="I58" s="170"/>
      <c r="J58" s="170"/>
      <c r="K58" s="171"/>
      <c r="L58" s="155"/>
      <c r="M58" s="143"/>
      <c r="N58" s="143"/>
      <c r="O58" s="143"/>
    </row>
    <row r="59" spans="2:15" ht="7.5" customHeight="1">
      <c r="B59" s="172"/>
      <c r="C59" s="143"/>
      <c r="D59" s="143"/>
      <c r="E59" s="155"/>
      <c r="F59" s="155"/>
      <c r="G59" s="155"/>
      <c r="H59" s="155"/>
      <c r="I59" s="155"/>
      <c r="J59" s="155"/>
      <c r="K59" s="155"/>
      <c r="L59" s="155"/>
      <c r="M59" s="143"/>
      <c r="N59" s="143"/>
      <c r="O59" s="143"/>
    </row>
    <row r="60" spans="2:15" ht="12.75">
      <c r="B60" s="173" t="str">
        <f>B4</f>
        <v>$000</v>
      </c>
      <c r="C60" s="146" t="s">
        <v>78</v>
      </c>
      <c r="D60" s="147"/>
      <c r="E60" s="148">
        <f aca="true" t="shared" si="12" ref="E60:J60">E5</f>
        <v>2010</v>
      </c>
      <c r="F60" s="148">
        <f t="shared" si="12"/>
        <v>2011</v>
      </c>
      <c r="G60" s="148">
        <f t="shared" si="12"/>
        <v>2012</v>
      </c>
      <c r="H60" s="148">
        <f t="shared" si="12"/>
        <v>2013</v>
      </c>
      <c r="I60" s="148">
        <f t="shared" si="12"/>
        <v>2014</v>
      </c>
      <c r="J60" s="148">
        <f t="shared" si="12"/>
        <v>2015</v>
      </c>
      <c r="K60" s="174" t="s">
        <v>6</v>
      </c>
      <c r="L60" s="175" t="s">
        <v>156</v>
      </c>
      <c r="M60" s="147"/>
      <c r="N60" s="147"/>
      <c r="O60" s="176"/>
    </row>
    <row r="61" spans="2:15" ht="4.5" customHeight="1">
      <c r="B61" s="156"/>
      <c r="C61" s="151"/>
      <c r="D61" s="151"/>
      <c r="E61" s="153"/>
      <c r="F61" s="153"/>
      <c r="G61" s="153"/>
      <c r="H61" s="153"/>
      <c r="I61" s="153"/>
      <c r="J61" s="153"/>
      <c r="K61" s="177"/>
      <c r="L61" s="153"/>
      <c r="M61" s="151"/>
      <c r="N61" s="151"/>
      <c r="O61" s="178"/>
    </row>
    <row r="62" spans="2:15" ht="12.75">
      <c r="B62" s="156"/>
      <c r="C62" s="151" t="s">
        <v>7</v>
      </c>
      <c r="D62" s="151"/>
      <c r="E62" s="153">
        <f aca="true" t="shared" si="13" ref="E62:J62">SUM(E7:E8)</f>
        <v>0</v>
      </c>
      <c r="F62" s="153">
        <f t="shared" si="13"/>
        <v>0</v>
      </c>
      <c r="G62" s="153">
        <f t="shared" si="13"/>
        <v>0</v>
      </c>
      <c r="H62" s="153">
        <f t="shared" si="13"/>
        <v>0</v>
      </c>
      <c r="I62" s="153">
        <f t="shared" si="13"/>
        <v>0</v>
      </c>
      <c r="J62" s="153">
        <f t="shared" si="13"/>
        <v>0</v>
      </c>
      <c r="K62" s="177">
        <f>SUM(E62:J62)</f>
        <v>0</v>
      </c>
      <c r="L62" s="153"/>
      <c r="M62" s="151"/>
      <c r="N62" s="151"/>
      <c r="O62" s="178"/>
    </row>
    <row r="63" spans="2:15" ht="12.75">
      <c r="B63" s="156" t="s">
        <v>139</v>
      </c>
      <c r="C63" s="151" t="s">
        <v>17</v>
      </c>
      <c r="D63" s="151"/>
      <c r="E63" s="153">
        <f aca="true" t="shared" si="14" ref="E63:J63">-(SUM(E15:E16)+SUM(E19:E21))</f>
        <v>0</v>
      </c>
      <c r="F63" s="153">
        <f t="shared" si="14"/>
        <v>0</v>
      </c>
      <c r="G63" s="153">
        <f t="shared" si="14"/>
        <v>0</v>
      </c>
      <c r="H63" s="153">
        <f t="shared" si="14"/>
        <v>0</v>
      </c>
      <c r="I63" s="153">
        <f t="shared" si="14"/>
        <v>0</v>
      </c>
      <c r="J63" s="153">
        <f t="shared" si="14"/>
        <v>0</v>
      </c>
      <c r="K63" s="177">
        <f>SUM(E63:J63)</f>
        <v>0</v>
      </c>
      <c r="L63" s="153"/>
      <c r="M63" s="151"/>
      <c r="N63" s="151"/>
      <c r="O63" s="178"/>
    </row>
    <row r="64" spans="2:15" ht="12.75">
      <c r="B64" s="156" t="s">
        <v>139</v>
      </c>
      <c r="C64" s="151" t="s">
        <v>82</v>
      </c>
      <c r="D64" s="151"/>
      <c r="E64" s="153">
        <f aca="true" t="shared" si="15" ref="E64:J64">E285</f>
        <v>0</v>
      </c>
      <c r="F64" s="153">
        <f t="shared" si="15"/>
        <v>0</v>
      </c>
      <c r="G64" s="153">
        <f t="shared" si="15"/>
        <v>0</v>
      </c>
      <c r="H64" s="153">
        <f t="shared" si="15"/>
        <v>0</v>
      </c>
      <c r="I64" s="153">
        <f t="shared" si="15"/>
        <v>0</v>
      </c>
      <c r="J64" s="153">
        <f t="shared" si="15"/>
        <v>0</v>
      </c>
      <c r="K64" s="177">
        <f>SUM(E64:J64)</f>
        <v>0</v>
      </c>
      <c r="L64" s="151"/>
      <c r="M64" s="153">
        <f>K285</f>
        <v>0</v>
      </c>
      <c r="N64" s="151"/>
      <c r="O64" s="178"/>
    </row>
    <row r="65" spans="2:15" ht="12.75">
      <c r="B65" s="156" t="s">
        <v>139</v>
      </c>
      <c r="C65" s="151" t="s">
        <v>136</v>
      </c>
      <c r="D65" s="151"/>
      <c r="E65" s="157">
        <f aca="true" t="shared" si="16" ref="E65:J65">-E266</f>
        <v>0</v>
      </c>
      <c r="F65" s="157">
        <f t="shared" si="16"/>
        <v>0</v>
      </c>
      <c r="G65" s="157">
        <f t="shared" si="16"/>
        <v>0</v>
      </c>
      <c r="H65" s="157">
        <f t="shared" si="16"/>
        <v>0</v>
      </c>
      <c r="I65" s="157">
        <f t="shared" si="16"/>
        <v>0</v>
      </c>
      <c r="J65" s="157">
        <f t="shared" si="16"/>
        <v>0</v>
      </c>
      <c r="K65" s="179">
        <f>SUM(E65:J65)</f>
        <v>0</v>
      </c>
      <c r="L65" s="151"/>
      <c r="M65" s="157">
        <f>-K266</f>
        <v>0</v>
      </c>
      <c r="N65" s="151"/>
      <c r="O65" s="178"/>
    </row>
    <row r="66" spans="2:15" ht="12.75">
      <c r="B66" s="156"/>
      <c r="C66" s="151" t="s">
        <v>79</v>
      </c>
      <c r="D66" s="151"/>
      <c r="E66" s="153">
        <f aca="true" t="shared" si="17" ref="E66:J66">SUM(E62:E65)</f>
        <v>0</v>
      </c>
      <c r="F66" s="153">
        <f t="shared" si="17"/>
        <v>0</v>
      </c>
      <c r="G66" s="153">
        <f t="shared" si="17"/>
        <v>0</v>
      </c>
      <c r="H66" s="153">
        <f t="shared" si="17"/>
        <v>0</v>
      </c>
      <c r="I66" s="153">
        <f t="shared" si="17"/>
        <v>0</v>
      </c>
      <c r="J66" s="153">
        <f t="shared" si="17"/>
        <v>0</v>
      </c>
      <c r="K66" s="177">
        <f>SUM(E66:J66)</f>
        <v>0</v>
      </c>
      <c r="L66" s="151"/>
      <c r="M66" s="153">
        <f>SUM(M62:M65)</f>
        <v>0</v>
      </c>
      <c r="N66" s="151"/>
      <c r="O66" s="178"/>
    </row>
    <row r="67" spans="2:15" ht="4.5" customHeight="1">
      <c r="B67" s="156"/>
      <c r="C67" s="151"/>
      <c r="D67" s="151"/>
      <c r="E67" s="153"/>
      <c r="F67" s="153"/>
      <c r="G67" s="153"/>
      <c r="H67" s="153"/>
      <c r="I67" s="153"/>
      <c r="J67" s="153"/>
      <c r="K67" s="177"/>
      <c r="L67" s="151"/>
      <c r="M67" s="153"/>
      <c r="N67" s="151"/>
      <c r="O67" s="178"/>
    </row>
    <row r="68" spans="2:15" ht="12.75">
      <c r="B68" s="156" t="s">
        <v>146</v>
      </c>
      <c r="C68" s="151" t="s">
        <v>149</v>
      </c>
      <c r="D68" s="151"/>
      <c r="E68" s="153">
        <f aca="true" t="shared" si="18" ref="E68:J68">SUM(E11:E12)</f>
        <v>0</v>
      </c>
      <c r="F68" s="153">
        <f t="shared" si="18"/>
        <v>0</v>
      </c>
      <c r="G68" s="153">
        <f t="shared" si="18"/>
        <v>0</v>
      </c>
      <c r="H68" s="153">
        <f t="shared" si="18"/>
        <v>0</v>
      </c>
      <c r="I68" s="153">
        <f t="shared" si="18"/>
        <v>0</v>
      </c>
      <c r="J68" s="153">
        <f t="shared" si="18"/>
        <v>0</v>
      </c>
      <c r="K68" s="177">
        <f>SUM(E68:J68)</f>
        <v>0</v>
      </c>
      <c r="L68" s="151"/>
      <c r="M68" s="153"/>
      <c r="N68" s="151"/>
      <c r="O68" s="178"/>
    </row>
    <row r="69" spans="2:15" ht="12.75">
      <c r="B69" s="156" t="s">
        <v>139</v>
      </c>
      <c r="C69" s="151" t="s">
        <v>9</v>
      </c>
      <c r="D69" s="151"/>
      <c r="E69" s="153">
        <f aca="true" t="shared" si="19" ref="E69:J69">-E226</f>
        <v>0</v>
      </c>
      <c r="F69" s="153">
        <f t="shared" si="19"/>
        <v>0</v>
      </c>
      <c r="G69" s="153">
        <f t="shared" si="19"/>
        <v>0</v>
      </c>
      <c r="H69" s="153">
        <f t="shared" si="19"/>
        <v>0</v>
      </c>
      <c r="I69" s="153">
        <f t="shared" si="19"/>
        <v>0</v>
      </c>
      <c r="J69" s="153">
        <f t="shared" si="19"/>
        <v>0</v>
      </c>
      <c r="K69" s="177">
        <f>SUM(E69:J69)</f>
        <v>0</v>
      </c>
      <c r="L69" s="151"/>
      <c r="M69" s="153"/>
      <c r="N69" s="151"/>
      <c r="O69" s="178"/>
    </row>
    <row r="70" spans="2:15" ht="12.75">
      <c r="B70" s="156" t="s">
        <v>146</v>
      </c>
      <c r="C70" s="151" t="s">
        <v>80</v>
      </c>
      <c r="D70" s="151"/>
      <c r="E70" s="157">
        <f aca="true" t="shared" si="20" ref="E70:J70">E149</f>
        <v>0</v>
      </c>
      <c r="F70" s="157">
        <f t="shared" si="20"/>
        <v>0</v>
      </c>
      <c r="G70" s="157">
        <f t="shared" si="20"/>
        <v>0</v>
      </c>
      <c r="H70" s="157">
        <f t="shared" si="20"/>
        <v>0</v>
      </c>
      <c r="I70" s="157">
        <f t="shared" si="20"/>
        <v>0</v>
      </c>
      <c r="J70" s="157">
        <f t="shared" si="20"/>
        <v>0</v>
      </c>
      <c r="K70" s="179">
        <f>SUM(E70:J70)</f>
        <v>0</v>
      </c>
      <c r="L70" s="151"/>
      <c r="M70" s="153">
        <f>K149</f>
        <v>0</v>
      </c>
      <c r="N70" s="151"/>
      <c r="O70" s="178"/>
    </row>
    <row r="71" spans="2:15" ht="13.5" thickBot="1">
      <c r="B71" s="156"/>
      <c r="C71" s="163" t="s">
        <v>81</v>
      </c>
      <c r="D71" s="151"/>
      <c r="E71" s="166">
        <f aca="true" t="shared" si="21" ref="E71:J71">E66+SUM(E68:E70)</f>
        <v>0</v>
      </c>
      <c r="F71" s="166">
        <f t="shared" si="21"/>
        <v>0</v>
      </c>
      <c r="G71" s="166">
        <f t="shared" si="21"/>
        <v>0</v>
      </c>
      <c r="H71" s="166">
        <f t="shared" si="21"/>
        <v>0</v>
      </c>
      <c r="I71" s="166">
        <f t="shared" si="21"/>
        <v>0</v>
      </c>
      <c r="J71" s="166">
        <f t="shared" si="21"/>
        <v>0</v>
      </c>
      <c r="K71" s="180">
        <f>SUM(E71:J71)</f>
        <v>0</v>
      </c>
      <c r="L71" s="151"/>
      <c r="M71" s="166">
        <f>M66+SUM(M68:M70)</f>
        <v>0</v>
      </c>
      <c r="N71" s="151"/>
      <c r="O71" s="178"/>
    </row>
    <row r="72" spans="2:15" ht="5.25" customHeight="1">
      <c r="B72" s="156"/>
      <c r="C72" s="151"/>
      <c r="D72" s="151"/>
      <c r="E72" s="153"/>
      <c r="F72" s="153"/>
      <c r="G72" s="153"/>
      <c r="H72" s="153"/>
      <c r="I72" s="153"/>
      <c r="J72" s="153"/>
      <c r="K72" s="153"/>
      <c r="L72" s="153"/>
      <c r="M72" s="151"/>
      <c r="N72" s="151"/>
      <c r="O72" s="178"/>
    </row>
    <row r="73" spans="2:15" ht="12.75">
      <c r="B73" s="156"/>
      <c r="C73" s="163" t="s">
        <v>160</v>
      </c>
      <c r="D73" s="151"/>
      <c r="E73" s="181">
        <f>SUMPRODUCT(F71:J71,F273:J273)+E71</f>
        <v>0</v>
      </c>
      <c r="F73" s="153"/>
      <c r="G73" s="153"/>
      <c r="H73" s="153"/>
      <c r="I73" s="153"/>
      <c r="J73" s="153"/>
      <c r="K73" s="153"/>
      <c r="L73" s="153"/>
      <c r="M73" s="151"/>
      <c r="N73" s="151"/>
      <c r="O73" s="178"/>
    </row>
    <row r="74" spans="2:15" ht="5.25" customHeight="1">
      <c r="B74" s="156"/>
      <c r="C74" s="163"/>
      <c r="D74" s="151"/>
      <c r="E74" s="182"/>
      <c r="F74" s="153"/>
      <c r="G74" s="153"/>
      <c r="H74" s="153"/>
      <c r="I74" s="153"/>
      <c r="J74" s="153"/>
      <c r="K74" s="153"/>
      <c r="L74" s="153"/>
      <c r="M74" s="151"/>
      <c r="N74" s="151"/>
      <c r="O74" s="178"/>
    </row>
    <row r="75" spans="2:15" ht="12.75">
      <c r="B75" s="156"/>
      <c r="C75" s="163" t="s">
        <v>161</v>
      </c>
      <c r="D75" s="151"/>
      <c r="E75" s="181">
        <f>E73+(M71*K273)</f>
        <v>0</v>
      </c>
      <c r="F75" s="153"/>
      <c r="G75" s="153"/>
      <c r="H75" s="153"/>
      <c r="I75" s="153"/>
      <c r="J75" s="153"/>
      <c r="K75" s="153"/>
      <c r="L75" s="153"/>
      <c r="M75" s="151"/>
      <c r="N75" s="151"/>
      <c r="O75" s="178"/>
    </row>
    <row r="76" spans="2:15" ht="5.25" customHeight="1">
      <c r="B76" s="168"/>
      <c r="C76" s="169"/>
      <c r="D76" s="183"/>
      <c r="E76" s="170"/>
      <c r="F76" s="184"/>
      <c r="G76" s="184"/>
      <c r="H76" s="184"/>
      <c r="I76" s="184"/>
      <c r="J76" s="184"/>
      <c r="K76" s="184"/>
      <c r="L76" s="184"/>
      <c r="M76" s="183"/>
      <c r="N76" s="183"/>
      <c r="O76" s="185"/>
    </row>
    <row r="77" spans="2:15" ht="6.75" customHeight="1">
      <c r="B77" s="172"/>
      <c r="C77" s="143"/>
      <c r="D77" s="143"/>
      <c r="E77" s="182"/>
      <c r="F77" s="155"/>
      <c r="G77" s="155"/>
      <c r="H77" s="155"/>
      <c r="I77" s="155"/>
      <c r="J77" s="155"/>
      <c r="K77" s="155"/>
      <c r="L77" s="155"/>
      <c r="M77" s="143"/>
      <c r="N77" s="143"/>
      <c r="O77" s="151"/>
    </row>
    <row r="78" spans="2:15" ht="12.75">
      <c r="B78" s="173" t="str">
        <f>B4</f>
        <v>$000</v>
      </c>
      <c r="C78" s="146" t="s">
        <v>85</v>
      </c>
      <c r="D78" s="147"/>
      <c r="E78" s="148">
        <f aca="true" t="shared" si="22" ref="E78:J78">E5</f>
        <v>2010</v>
      </c>
      <c r="F78" s="148">
        <f t="shared" si="22"/>
        <v>2011</v>
      </c>
      <c r="G78" s="148">
        <f t="shared" si="22"/>
        <v>2012</v>
      </c>
      <c r="H78" s="148">
        <f t="shared" si="22"/>
        <v>2013</v>
      </c>
      <c r="I78" s="148">
        <f t="shared" si="22"/>
        <v>2014</v>
      </c>
      <c r="J78" s="148">
        <f t="shared" si="22"/>
        <v>2015</v>
      </c>
      <c r="K78" s="174" t="s">
        <v>6</v>
      </c>
      <c r="L78" s="175" t="s">
        <v>156</v>
      </c>
      <c r="M78" s="147"/>
      <c r="N78" s="147"/>
      <c r="O78" s="176"/>
    </row>
    <row r="79" spans="2:15" ht="4.5" customHeight="1">
      <c r="B79" s="156"/>
      <c r="C79" s="151"/>
      <c r="D79" s="151"/>
      <c r="E79" s="153"/>
      <c r="F79" s="153"/>
      <c r="G79" s="153"/>
      <c r="H79" s="153"/>
      <c r="I79" s="153"/>
      <c r="J79" s="153"/>
      <c r="K79" s="177"/>
      <c r="L79" s="153"/>
      <c r="M79" s="151"/>
      <c r="N79" s="151"/>
      <c r="O79" s="178"/>
    </row>
    <row r="80" spans="2:15" ht="12.75">
      <c r="B80" s="156"/>
      <c r="C80" s="151" t="s">
        <v>138</v>
      </c>
      <c r="D80" s="151"/>
      <c r="E80" s="153">
        <f aca="true" t="shared" si="23" ref="E80:J80">SUM(E7:E8)+SUM(E11:E12)</f>
        <v>0</v>
      </c>
      <c r="F80" s="153">
        <f t="shared" si="23"/>
        <v>0</v>
      </c>
      <c r="G80" s="153">
        <f t="shared" si="23"/>
        <v>0</v>
      </c>
      <c r="H80" s="153">
        <f t="shared" si="23"/>
        <v>0</v>
      </c>
      <c r="I80" s="153">
        <f t="shared" si="23"/>
        <v>0</v>
      </c>
      <c r="J80" s="153">
        <f t="shared" si="23"/>
        <v>0</v>
      </c>
      <c r="K80" s="177">
        <f aca="true" t="shared" si="24" ref="K80:K86">SUM(E80:J80)</f>
        <v>0</v>
      </c>
      <c r="L80" s="153"/>
      <c r="M80" s="151"/>
      <c r="N80" s="151"/>
      <c r="O80" s="178"/>
    </row>
    <row r="81" spans="2:15" ht="12.75">
      <c r="B81" s="156" t="s">
        <v>139</v>
      </c>
      <c r="C81" s="151" t="s">
        <v>17</v>
      </c>
      <c r="D81" s="151"/>
      <c r="E81" s="153">
        <f aca="true" t="shared" si="25" ref="E81:J81">-(SUM(E15:E16)+SUM(E19:E21))</f>
        <v>0</v>
      </c>
      <c r="F81" s="153">
        <f t="shared" si="25"/>
        <v>0</v>
      </c>
      <c r="G81" s="153">
        <f t="shared" si="25"/>
        <v>0</v>
      </c>
      <c r="H81" s="153">
        <f t="shared" si="25"/>
        <v>0</v>
      </c>
      <c r="I81" s="153">
        <f t="shared" si="25"/>
        <v>0</v>
      </c>
      <c r="J81" s="153">
        <f t="shared" si="25"/>
        <v>0</v>
      </c>
      <c r="K81" s="177">
        <f t="shared" si="24"/>
        <v>0</v>
      </c>
      <c r="L81" s="153"/>
      <c r="M81" s="151"/>
      <c r="N81" s="151"/>
      <c r="O81" s="178"/>
    </row>
    <row r="82" spans="2:15" ht="12.75">
      <c r="B82" s="156" t="s">
        <v>139</v>
      </c>
      <c r="C82" s="151" t="s">
        <v>82</v>
      </c>
      <c r="D82" s="151"/>
      <c r="E82" s="153">
        <f aca="true" t="shared" si="26" ref="E82:J82">E285</f>
        <v>0</v>
      </c>
      <c r="F82" s="153">
        <f t="shared" si="26"/>
        <v>0</v>
      </c>
      <c r="G82" s="153">
        <f t="shared" si="26"/>
        <v>0</v>
      </c>
      <c r="H82" s="153">
        <f t="shared" si="26"/>
        <v>0</v>
      </c>
      <c r="I82" s="153">
        <f t="shared" si="26"/>
        <v>0</v>
      </c>
      <c r="J82" s="153">
        <f t="shared" si="26"/>
        <v>0</v>
      </c>
      <c r="K82" s="177">
        <f t="shared" si="24"/>
        <v>0</v>
      </c>
      <c r="L82" s="151"/>
      <c r="M82" s="153">
        <f>K285</f>
        <v>0</v>
      </c>
      <c r="N82" s="151"/>
      <c r="O82" s="178"/>
    </row>
    <row r="83" spans="2:15" ht="12.75">
      <c r="B83" s="156" t="s">
        <v>139</v>
      </c>
      <c r="C83" s="151" t="s">
        <v>136</v>
      </c>
      <c r="D83" s="151"/>
      <c r="E83" s="153">
        <f aca="true" t="shared" si="27" ref="E83:J83">-E266</f>
        <v>0</v>
      </c>
      <c r="F83" s="153">
        <f t="shared" si="27"/>
        <v>0</v>
      </c>
      <c r="G83" s="153">
        <f t="shared" si="27"/>
        <v>0</v>
      </c>
      <c r="H83" s="153">
        <f t="shared" si="27"/>
        <v>0</v>
      </c>
      <c r="I83" s="153">
        <f t="shared" si="27"/>
        <v>0</v>
      </c>
      <c r="J83" s="153">
        <f t="shared" si="27"/>
        <v>0</v>
      </c>
      <c r="K83" s="177">
        <f t="shared" si="24"/>
        <v>0</v>
      </c>
      <c r="L83" s="151"/>
      <c r="M83" s="153">
        <f>-K266</f>
        <v>0</v>
      </c>
      <c r="N83" s="151"/>
      <c r="O83" s="178"/>
    </row>
    <row r="84" spans="2:15" ht="12.75">
      <c r="B84" s="156" t="s">
        <v>146</v>
      </c>
      <c r="C84" s="151" t="s">
        <v>80</v>
      </c>
      <c r="D84" s="151"/>
      <c r="E84" s="153">
        <f aca="true" t="shared" si="28" ref="E84:J84">E149</f>
        <v>0</v>
      </c>
      <c r="F84" s="153">
        <f t="shared" si="28"/>
        <v>0</v>
      </c>
      <c r="G84" s="153">
        <f t="shared" si="28"/>
        <v>0</v>
      </c>
      <c r="H84" s="153">
        <f t="shared" si="28"/>
        <v>0</v>
      </c>
      <c r="I84" s="153">
        <f t="shared" si="28"/>
        <v>0</v>
      </c>
      <c r="J84" s="153">
        <f t="shared" si="28"/>
        <v>0</v>
      </c>
      <c r="K84" s="177">
        <f t="shared" si="24"/>
        <v>0</v>
      </c>
      <c r="L84" s="151"/>
      <c r="M84" s="153">
        <f>K149</f>
        <v>0</v>
      </c>
      <c r="N84" s="151"/>
      <c r="O84" s="178"/>
    </row>
    <row r="85" spans="2:15" ht="12.75">
      <c r="B85" s="156" t="s">
        <v>146</v>
      </c>
      <c r="C85" s="151" t="s">
        <v>150</v>
      </c>
      <c r="D85" s="151"/>
      <c r="E85" s="157">
        <f aca="true" t="shared" si="29" ref="E85:J85">-E210</f>
        <v>0</v>
      </c>
      <c r="F85" s="157">
        <f t="shared" si="29"/>
        <v>0</v>
      </c>
      <c r="G85" s="157">
        <f t="shared" si="29"/>
        <v>0</v>
      </c>
      <c r="H85" s="157">
        <f t="shared" si="29"/>
        <v>0</v>
      </c>
      <c r="I85" s="157">
        <f t="shared" si="29"/>
        <v>0</v>
      </c>
      <c r="J85" s="157">
        <f t="shared" si="29"/>
        <v>0</v>
      </c>
      <c r="K85" s="179">
        <f t="shared" si="24"/>
        <v>0</v>
      </c>
      <c r="L85" s="151"/>
      <c r="M85" s="157">
        <f>-K210</f>
        <v>0</v>
      </c>
      <c r="N85" s="151"/>
      <c r="O85" s="178"/>
    </row>
    <row r="86" spans="2:15" ht="12.75">
      <c r="B86" s="156"/>
      <c r="C86" s="151" t="s">
        <v>151</v>
      </c>
      <c r="D86" s="151"/>
      <c r="E86" s="153">
        <f aca="true" t="shared" si="30" ref="E86:J86">SUM(E80:E85)</f>
        <v>0</v>
      </c>
      <c r="F86" s="153">
        <f t="shared" si="30"/>
        <v>0</v>
      </c>
      <c r="G86" s="153">
        <f t="shared" si="30"/>
        <v>0</v>
      </c>
      <c r="H86" s="153">
        <f t="shared" si="30"/>
        <v>0</v>
      </c>
      <c r="I86" s="153">
        <f t="shared" si="30"/>
        <v>0</v>
      </c>
      <c r="J86" s="153">
        <f t="shared" si="30"/>
        <v>0</v>
      </c>
      <c r="K86" s="177">
        <f t="shared" si="24"/>
        <v>0</v>
      </c>
      <c r="L86" s="151"/>
      <c r="M86" s="153">
        <f>SUM(M80:M85)</f>
        <v>0</v>
      </c>
      <c r="N86" s="151"/>
      <c r="O86" s="178"/>
    </row>
    <row r="87" spans="2:15" ht="5.25" customHeight="1">
      <c r="B87" s="156"/>
      <c r="C87" s="151"/>
      <c r="D87" s="151"/>
      <c r="E87" s="153"/>
      <c r="F87" s="153"/>
      <c r="G87" s="153"/>
      <c r="H87" s="153"/>
      <c r="I87" s="153"/>
      <c r="J87" s="153"/>
      <c r="K87" s="177"/>
      <c r="L87" s="151"/>
      <c r="M87" s="153"/>
      <c r="N87" s="151"/>
      <c r="O87" s="178"/>
    </row>
    <row r="88" spans="2:15" ht="12.75">
      <c r="B88" s="156"/>
      <c r="C88" s="151" t="s">
        <v>65</v>
      </c>
      <c r="D88" s="151"/>
      <c r="E88" s="186">
        <f aca="true" t="shared" si="31" ref="E88:J88">E247</f>
        <v>0</v>
      </c>
      <c r="F88" s="186">
        <f t="shared" si="31"/>
        <v>0</v>
      </c>
      <c r="G88" s="186">
        <f t="shared" si="31"/>
        <v>0</v>
      </c>
      <c r="H88" s="186">
        <f t="shared" si="31"/>
        <v>0</v>
      </c>
      <c r="I88" s="186">
        <f t="shared" si="31"/>
        <v>0</v>
      </c>
      <c r="J88" s="186">
        <f t="shared" si="31"/>
        <v>0</v>
      </c>
      <c r="K88" s="187">
        <f>SUM(E88:J88)</f>
        <v>0</v>
      </c>
      <c r="L88" s="151"/>
      <c r="M88" s="186">
        <f>K247</f>
        <v>0</v>
      </c>
      <c r="N88" s="151"/>
      <c r="O88" s="178"/>
    </row>
    <row r="89" spans="2:15" ht="12.75">
      <c r="B89" s="156" t="s">
        <v>139</v>
      </c>
      <c r="C89" s="151" t="s">
        <v>152</v>
      </c>
      <c r="D89" s="151"/>
      <c r="E89" s="157">
        <f aca="true" t="shared" si="32" ref="E89:J89">-E88*E271</f>
        <v>0</v>
      </c>
      <c r="F89" s="157">
        <f t="shared" si="32"/>
        <v>0</v>
      </c>
      <c r="G89" s="157">
        <f t="shared" si="32"/>
        <v>0</v>
      </c>
      <c r="H89" s="157">
        <f t="shared" si="32"/>
        <v>0</v>
      </c>
      <c r="I89" s="157">
        <f t="shared" si="32"/>
        <v>0</v>
      </c>
      <c r="J89" s="157">
        <f t="shared" si="32"/>
        <v>0</v>
      </c>
      <c r="K89" s="179">
        <f>SUM(E89:J89)</f>
        <v>0</v>
      </c>
      <c r="L89" s="151"/>
      <c r="M89" s="157">
        <f>-M88*K271</f>
        <v>0</v>
      </c>
      <c r="N89" s="151"/>
      <c r="O89" s="178"/>
    </row>
    <row r="90" spans="2:15" ht="13.5" thickBot="1">
      <c r="B90" s="156"/>
      <c r="C90" s="163" t="s">
        <v>153</v>
      </c>
      <c r="D90" s="151"/>
      <c r="E90" s="166">
        <f aca="true" t="shared" si="33" ref="E90:J90">E86+E89</f>
        <v>0</v>
      </c>
      <c r="F90" s="166">
        <f t="shared" si="33"/>
        <v>0</v>
      </c>
      <c r="G90" s="166">
        <f t="shared" si="33"/>
        <v>0</v>
      </c>
      <c r="H90" s="166">
        <f t="shared" si="33"/>
        <v>0</v>
      </c>
      <c r="I90" s="166">
        <f t="shared" si="33"/>
        <v>0</v>
      </c>
      <c r="J90" s="166">
        <f t="shared" si="33"/>
        <v>0</v>
      </c>
      <c r="K90" s="180">
        <f>SUM(E90:J90)</f>
        <v>0</v>
      </c>
      <c r="L90" s="151"/>
      <c r="M90" s="166">
        <f>M86+M89</f>
        <v>0</v>
      </c>
      <c r="N90" s="151"/>
      <c r="O90" s="178"/>
    </row>
    <row r="91" spans="2:15" ht="4.5" customHeight="1">
      <c r="B91" s="156"/>
      <c r="C91" s="163"/>
      <c r="D91" s="151"/>
      <c r="E91" s="182"/>
      <c r="F91" s="182"/>
      <c r="G91" s="182"/>
      <c r="H91" s="182"/>
      <c r="I91" s="182"/>
      <c r="J91" s="182"/>
      <c r="K91" s="153"/>
      <c r="L91" s="153"/>
      <c r="M91" s="151"/>
      <c r="N91" s="151"/>
      <c r="O91" s="178"/>
    </row>
    <row r="92" spans="2:15" ht="12.75">
      <c r="B92" s="156"/>
      <c r="C92" s="163" t="s">
        <v>154</v>
      </c>
      <c r="D92" s="151"/>
      <c r="E92" s="181">
        <f>SUMPRODUCT(F90:J90,F273:J273)+E90</f>
        <v>0</v>
      </c>
      <c r="F92" s="182"/>
      <c r="G92" s="182"/>
      <c r="H92" s="182"/>
      <c r="I92" s="182"/>
      <c r="J92" s="182"/>
      <c r="K92" s="153"/>
      <c r="L92" s="153"/>
      <c r="M92" s="151"/>
      <c r="N92" s="151"/>
      <c r="O92" s="178"/>
    </row>
    <row r="93" spans="2:15" ht="5.25" customHeight="1">
      <c r="B93" s="156"/>
      <c r="C93" s="163"/>
      <c r="D93" s="151"/>
      <c r="E93" s="182"/>
      <c r="F93" s="182"/>
      <c r="G93" s="182"/>
      <c r="H93" s="182"/>
      <c r="I93" s="182"/>
      <c r="J93" s="182"/>
      <c r="K93" s="153"/>
      <c r="L93" s="153"/>
      <c r="M93" s="151"/>
      <c r="N93" s="151"/>
      <c r="O93" s="178"/>
    </row>
    <row r="94" spans="2:15" ht="12.75">
      <c r="B94" s="156"/>
      <c r="C94" s="163" t="s">
        <v>155</v>
      </c>
      <c r="D94" s="151"/>
      <c r="E94" s="181">
        <f>E92+(M90*K273)</f>
        <v>0</v>
      </c>
      <c r="F94" s="182"/>
      <c r="G94" s="182"/>
      <c r="H94" s="182"/>
      <c r="I94" s="182"/>
      <c r="J94" s="182"/>
      <c r="K94" s="153"/>
      <c r="L94" s="153"/>
      <c r="M94" s="151"/>
      <c r="N94" s="151"/>
      <c r="O94" s="178"/>
    </row>
    <row r="95" spans="2:15" ht="5.25" customHeight="1">
      <c r="B95" s="168"/>
      <c r="C95" s="169"/>
      <c r="D95" s="183"/>
      <c r="E95" s="170"/>
      <c r="F95" s="170"/>
      <c r="G95" s="170"/>
      <c r="H95" s="170"/>
      <c r="I95" s="170"/>
      <c r="J95" s="170"/>
      <c r="K95" s="184"/>
      <c r="L95" s="184"/>
      <c r="M95" s="183"/>
      <c r="N95" s="183"/>
      <c r="O95" s="185"/>
    </row>
    <row r="96" spans="2:15" ht="15" customHeight="1">
      <c r="B96" s="188" t="s">
        <v>208</v>
      </c>
      <c r="C96" s="143"/>
      <c r="D96" s="143"/>
      <c r="E96" s="155"/>
      <c r="F96" s="155"/>
      <c r="G96" s="155"/>
      <c r="H96" s="155"/>
      <c r="I96" s="155"/>
      <c r="J96" s="155"/>
      <c r="K96" s="155"/>
      <c r="L96" s="155"/>
      <c r="M96" s="143"/>
      <c r="N96" s="143"/>
      <c r="O96" s="143"/>
    </row>
    <row r="97" spans="2:20" ht="16.5" customHeight="1">
      <c r="B97" s="189"/>
      <c r="C97" s="146" t="s">
        <v>86</v>
      </c>
      <c r="D97" s="147"/>
      <c r="E97" s="190"/>
      <c r="F97" s="191"/>
      <c r="G97" s="191"/>
      <c r="H97" s="191"/>
      <c r="I97" s="191"/>
      <c r="J97" s="191"/>
      <c r="K97" s="147"/>
      <c r="L97" s="147"/>
      <c r="M97" s="147"/>
      <c r="N97" s="147"/>
      <c r="O97" s="176"/>
      <c r="T97" s="139" t="b">
        <v>0</v>
      </c>
    </row>
    <row r="98" spans="2:20" ht="12.75" hidden="1">
      <c r="B98" s="150"/>
      <c r="C98" s="192" t="s">
        <v>41</v>
      </c>
      <c r="D98" s="192"/>
      <c r="E98" s="192"/>
      <c r="F98" s="193">
        <v>1</v>
      </c>
      <c r="G98" s="193">
        <v>2</v>
      </c>
      <c r="H98" s="193">
        <v>3</v>
      </c>
      <c r="I98" s="193">
        <v>4</v>
      </c>
      <c r="J98" s="193">
        <v>5</v>
      </c>
      <c r="K98" s="194" t="s">
        <v>158</v>
      </c>
      <c r="L98" s="194" t="s">
        <v>159</v>
      </c>
      <c r="M98" s="151"/>
      <c r="N98" s="151"/>
      <c r="O98" s="178"/>
      <c r="T98" s="139"/>
    </row>
    <row r="99" spans="2:20" ht="12.75" hidden="1">
      <c r="B99" s="150"/>
      <c r="C99" s="195">
        <f>C25</f>
        <v>0</v>
      </c>
      <c r="D99" s="192"/>
      <c r="E99" s="192"/>
      <c r="F99" s="153">
        <f>IF($J25="Straight Line",(IF(($H25/(1-($F25*$I25))*$I25)&gt;$H25,$H25,($H25/(1-($F25*$I25))*$I25))),$H25*$I25)*(MAX(IF(ROUNDDOWN(($E25-($F25+F$98-1)),0)&gt;0,1,($E25-($F25+F$98-1))),0))</f>
        <v>0</v>
      </c>
      <c r="G99" s="153">
        <f>IF($J25="Straight Line",(IF(($H25/(1-($F25*$I25))*$I25)&gt;($H25-SUM($F99:F99)),($H25-SUM($F99:F99)),($H25/(1-($F25*$I25))*$I25))),($H25-SUM($F99:F99))*$I25)*(MAX(IF(ROUNDDOWN(($E25-($F25+G$98-1)),0)&gt;0,1,($E25-($F25+G$98-1))),0))</f>
        <v>0</v>
      </c>
      <c r="H99" s="153">
        <f>IF($J25="Straight Line",(IF(($H25/(1-($F25*$I25))*$I25)&gt;($H25-SUM($F99:G99)),($H25-SUM($F99:G99)),($H25/(1-($F25*$I25))*$I25))),($H25-SUM($F99:G99))*$I25)*(MAX(IF(ROUNDDOWN(($E25-($F25+H$98-1)),0)&gt;0,1,($E25-($F25+H$98-1))),0))</f>
        <v>0</v>
      </c>
      <c r="I99" s="153">
        <f>IF($J25="Straight Line",(IF(($H25/(1-($F25*$I25))*$I25)&gt;($H25-SUM($F99:H99)),($H25-SUM($F99:H99)),($H25/(1-($F25*$I25))*$I25))),($H25-SUM($F99:H99))*$I25)*(MAX(IF(ROUNDDOWN(($E25-($F25+I$98-1)),0)&gt;0,1,($E25-($F25+I$98-1))),0))</f>
        <v>0</v>
      </c>
      <c r="J99" s="153">
        <f>IF($J25="Straight Line",(IF(($H25/(1-($F25*$I25))*$I25)&gt;($H25-SUM($F99:I99)),($H25-SUM($F99:I99)),($H25/(1-($F25*$I25))*$I25))),($H25-SUM($F99:I99))*$I25)*(MAX(IF(ROUNDDOWN(($E25-($F25+J$98-1)),0)&gt;0,1,($E25-($F25+J$98-1))),0))</f>
        <v>0</v>
      </c>
      <c r="K99" s="196">
        <f>IF(AND(($E25-$F25)&gt;5,($H25-SUM($F99:$J99))&gt;0),IF($J25="Straight Line",(MAX((($H25/(1-($F25*$I25)))*(1-($I25*MIN($E25,1/$I25))))/((1+$K$271)^($E25-$F25-5)),0)),(MAX((($H25/(1-$I25)^$F25)*((1-$I25)^$E25))/((1+$K$271)^($E25-$F25-5)),0))),0)</f>
        <v>0</v>
      </c>
      <c r="L99" s="153">
        <f>IF(AND(($E25-$F25)&gt;5,($H25-SUM($F99:$J99))&gt;0),IF(J25="Straight Line",(-PV($K$271,(MIN($E25,1/$I25)-$F25-5),(($H25/(1-($F25*$I25)))*I25))),(-PV($K$271,($E25-$F25-5),(($H25-SUM($F99:$J99))*($I25*0.67))))),0)</f>
        <v>0</v>
      </c>
      <c r="M99" s="151"/>
      <c r="N99" s="151"/>
      <c r="O99" s="178"/>
      <c r="T99" s="139"/>
    </row>
    <row r="100" spans="2:20" ht="12.75" hidden="1">
      <c r="B100" s="150"/>
      <c r="C100" s="195">
        <f>C26</f>
        <v>0</v>
      </c>
      <c r="D100" s="192"/>
      <c r="E100" s="192"/>
      <c r="F100" s="153">
        <f>IF($J26="Straight Line",(IF(($H26/(1-($F26*$I26))*$I26)&gt;$H26,$H26,($H26/(1-($F26*$I26))*$I26))),$H26*$I26)*(MAX(IF(ROUNDDOWN(($E26-($F26+F$98-1)),0)&gt;0,1,($E26-($F26+F$98-1))),0))</f>
        <v>0</v>
      </c>
      <c r="G100" s="153">
        <f>IF($J26="Straight Line",(IF(($H26/(1-($F26*$I26))*$I26)&gt;($H26-SUM($F100:F100)),($H26-SUM($F100:F100)),($H26/(1-($F26*$I26))*$I26))),($H26-SUM($F100:F100))*$I26)*(MAX(IF(ROUNDDOWN(($E26-($F26+G$98-1)),0)&gt;0,1,($E26-($F26+G$98-1))),0))</f>
        <v>0</v>
      </c>
      <c r="H100" s="153">
        <f>IF($J26="Straight Line",(IF(($H26/(1-($F26*$I26))*$I26)&gt;($H26-SUM($F100:G100)),($H26-SUM($F100:G100)),($H26/(1-($F26*$I26))*$I26))),($H26-SUM($F100:G100))*$I26)*(MAX(IF(ROUNDDOWN(($E26-($F26+H$98-1)),0)&gt;0,1,($E26-($F26+H$98-1))),0))</f>
        <v>0</v>
      </c>
      <c r="I100" s="153">
        <f>IF($J26="Straight Line",(IF(($H26/(1-($F26*$I26))*$I26)&gt;($H26-SUM($F100:H100)),($H26-SUM($F100:H100)),($H26/(1-($F26*$I26))*$I26))),($H26-SUM($F100:H100))*$I26)*(MAX(IF(ROUNDDOWN(($E26-($F26+I$98-1)),0)&gt;0,1,($E26-($F26+I$98-1))),0))</f>
        <v>0</v>
      </c>
      <c r="J100" s="153">
        <f>IF($J26="Straight Line",(IF(($H26/(1-($F26*$I26))*$I26)&gt;($H26-SUM($F100:I100)),($H26-SUM($F100:I100)),($H26/(1-($F26*$I26))*$I26))),($H26-SUM($F100:I100))*$I26)*(MAX(IF(ROUNDDOWN(($E26-($F26+J$98-1)),0)&gt;0,1,($E26-($F26+J$98-1))),0))</f>
        <v>0</v>
      </c>
      <c r="K100" s="196">
        <f>IF(AND(($E26-$F26)&gt;5,($H26-SUM($F100:$J100))&gt;0),IF($J26="Straight Line",(MAX((($H26/(1-($F26*$I26)))*(1-($I26*MIN($E26,1/$I26))))/((1+$K$271)^($E26-$F26-5)),0)),(MAX((($H26/(1-$I26)^$F26)*((1-$I26)^$E26))/((1+$K$271)^($E26-$F26-5)),0))),0)</f>
        <v>0</v>
      </c>
      <c r="L100" s="153">
        <f>IF(AND(($E26-$F26)&gt;5,($H26-SUM($F100:$J100))&gt;0),IF(J26="Straight Line",(-PV($K$271,(MIN($E26,1/$I26)-$F26-5),(($H26/(1-($F26*$I26)))*I26))),(-PV($K$271,($E26-$F26-5),(($H26-SUM($F100:$J100))*($I26*0.67))))),0)</f>
        <v>0</v>
      </c>
      <c r="M100" s="151"/>
      <c r="N100" s="151"/>
      <c r="O100" s="197"/>
      <c r="T100" s="139"/>
    </row>
    <row r="101" spans="2:20" ht="12.75" hidden="1">
      <c r="B101" s="150"/>
      <c r="C101" s="195">
        <f>C27</f>
        <v>0</v>
      </c>
      <c r="D101" s="192"/>
      <c r="E101" s="192"/>
      <c r="F101" s="153">
        <f>IF($J27="Straight Line",(IF(($H27/(1-($F27*$I27))*$I27)&gt;$H27,$H27,($H27/(1-($F27*$I27))*$I27))),$H27*$I27)*(MAX(IF(ROUNDDOWN(($E27-($F27+F$98-1)),0)&gt;0,1,($E27-($F27+F$98-1))),0))</f>
        <v>0</v>
      </c>
      <c r="G101" s="153">
        <f>IF($J27="Straight Line",(IF(($H27/(1-($F27*$I27))*$I27)&gt;($H27-SUM($F101:F101)),($H27-SUM($F101:F101)),($H27/(1-($F27*$I27))*$I27))),($H27-SUM($F101:F101))*$I27)*(MAX(IF(ROUNDDOWN(($E27-($F27+G$98-1)),0)&gt;0,1,($E27-($F27+G$98-1))),0))</f>
        <v>0</v>
      </c>
      <c r="H101" s="153">
        <f>IF($J27="Straight Line",(IF(($H27/(1-($F27*$I27))*$I27)&gt;($H27-SUM($F101:G101)),($H27-SUM($F101:G101)),($H27/(1-($F27*$I27))*$I27))),($H27-SUM($F101:G101))*$I27)*(MAX(IF(ROUNDDOWN(($E27-($F27+H$98-1)),0)&gt;0,1,($E27-($F27+H$98-1))),0))</f>
        <v>0</v>
      </c>
      <c r="I101" s="153">
        <f>IF($J27="Straight Line",(IF(($H27/(1-($F27*$I27))*$I27)&gt;($H27-SUM($F101:H101)),($H27-SUM($F101:H101)),($H27/(1-($F27*$I27))*$I27))),($H27-SUM($F101:H101))*$I27)*(MAX(IF(ROUNDDOWN(($E27-($F27+I$98-1)),0)&gt;0,1,($E27-($F27+I$98-1))),0))</f>
        <v>0</v>
      </c>
      <c r="J101" s="153">
        <f>IF($J27="Straight Line",(IF(($H27/(1-($F27*$I27))*$I27)&gt;($H27-SUM($F101:I101)),($H27-SUM($F101:I101)),($H27/(1-($F27*$I27))*$I27))),($H27-SUM($F101:I101))*$I27)*(MAX(IF(ROUNDDOWN(($E27-($F27+J$98-1)),0)&gt;0,1,($E27-($F27+J$98-1))),0))</f>
        <v>0</v>
      </c>
      <c r="K101" s="196">
        <f>IF(AND(($E27-$F27)&gt;5,($H27-SUM($F101:$J101))&gt;0),IF($J27="Straight Line",(MAX((($H27/(1-($F27*$I27)))*(1-($I27*MIN($E27,1/$I27))))/((1+$K$271)^($E27-$F27-5)),0)),(MAX((($H27/(1-$I27)^$F27)*((1-$I27)^$E27))/((1+$K$271)^($E27-$F27-5)),0))),0)</f>
        <v>0</v>
      </c>
      <c r="L101" s="153">
        <f>IF(AND(($E27-$F27)&gt;5,($H27-SUM($F101:$J101))&gt;0),IF(J27="Straight Line",(-PV($K$271,(MIN($E27,1/$I27)-$F27-5),(($H27/(1-($F27*$I27)))*I27))),(-PV($K$271,($E27-$F27-5),(($H27-SUM($F101:$J101))*($I27*0.67))))),0)</f>
        <v>0</v>
      </c>
      <c r="M101" s="153"/>
      <c r="N101" s="153"/>
      <c r="O101" s="178"/>
      <c r="T101" s="139"/>
    </row>
    <row r="102" spans="2:20" ht="12.75" hidden="1">
      <c r="B102" s="150"/>
      <c r="C102" s="195">
        <f>C28</f>
        <v>0</v>
      </c>
      <c r="D102" s="192"/>
      <c r="E102" s="192"/>
      <c r="F102" s="153">
        <f>IF($J28="Straight Line",(IF(($H28/(1-($F28*$I28))*$I28)&gt;$H28,$H28,($H28/(1-($F28*$I28))*$I28))),$H28*$I28)*(MAX(IF(ROUNDDOWN(($E28-($F28+F$98-1)),0)&gt;0,1,($E28-($F28+F$98-1))),0))</f>
        <v>0</v>
      </c>
      <c r="G102" s="153">
        <f>IF($J28="Straight Line",(IF(($H28/(1-($F28*$I28))*$I28)&gt;($H28-SUM($F102:F102)),($H28-SUM($F102:F102)),($H28/(1-($F28*$I28))*$I28))),($H28-SUM($F102:F102))*$I28)*(MAX(IF(ROUNDDOWN(($E28-($F28+G$98-1)),0)&gt;0,1,($E28-($F28+G$98-1))),0))</f>
        <v>0</v>
      </c>
      <c r="H102" s="153">
        <f>IF($J28="Straight Line",(IF(($H28/(1-($F28*$I28))*$I28)&gt;($H28-SUM($F102:G102)),($H28-SUM($F102:G102)),($H28/(1-($F28*$I28))*$I28))),($H28-SUM($F102:G102))*$I28)*(MAX(IF(ROUNDDOWN(($E28-($F28+H$98-1)),0)&gt;0,1,($E28-($F28+H$98-1))),0))</f>
        <v>0</v>
      </c>
      <c r="I102" s="153">
        <f>IF($J28="Straight Line",(IF(($H28/(1-($F28*$I28))*$I28)&gt;($H28-SUM($F102:H102)),($H28-SUM($F102:H102)),($H28/(1-($F28*$I28))*$I28))),($H28-SUM($F102:H102))*$I28)*(MAX(IF(ROUNDDOWN(($E28-($F28+I$98-1)),0)&gt;0,1,($E28-($F28+I$98-1))),0))</f>
        <v>0</v>
      </c>
      <c r="J102" s="153">
        <f>IF($J28="Straight Line",(IF(($H28/(1-($F28*$I28))*$I28)&gt;($H28-SUM($F102:I102)),($H28-SUM($F102:I102)),($H28/(1-($F28*$I28))*$I28))),($H28-SUM($F102:I102))*$I28)*(MAX(IF(ROUNDDOWN(($E28-($F28+J$98-1)),0)&gt;0,1,($E28-($F28+J$98-1))),0))</f>
        <v>0</v>
      </c>
      <c r="K102" s="196">
        <f>IF(AND(($E28-$F28)&gt;5,($H28-SUM($F102:$J102))&gt;0),IF($J28="Straight Line",(MAX((($H28/(1-($F28*$I28)))*(1-($I28*MIN($E28,1/$I28))))/((1+$K$271)^($E28-$F28-5)),0)),(MAX((($H28/(1-$I28)^$F28)*((1-$I28)^$E28))/((1+$K$271)^($E28-$F28-5)),0))),0)</f>
        <v>0</v>
      </c>
      <c r="L102" s="153">
        <f>IF(AND(($E28-$F28)&gt;5,($H28-SUM($F102:$J102))&gt;0),IF(J28="Straight Line",(-PV($K$271,(MIN($E28,1/$I28)-$F28-5),(($H28/(1-($F28*$I28)))*I28))),(-PV($K$271,($E28-$F28-5),(($H28-SUM($F102:$J102))*($I28*0.67))))),0)</f>
        <v>0</v>
      </c>
      <c r="M102" s="153"/>
      <c r="N102" s="153"/>
      <c r="O102" s="178"/>
      <c r="T102" s="139"/>
    </row>
    <row r="103" spans="2:20" ht="12.75" hidden="1">
      <c r="B103" s="150"/>
      <c r="C103" s="195">
        <f>C29</f>
        <v>0</v>
      </c>
      <c r="D103" s="192"/>
      <c r="E103" s="192"/>
      <c r="F103" s="153">
        <f>IF($J29="Straight Line",(IF(($H29/(1-($F29*$I29))*$I29)&gt;$H29,$H29,($H29/(1-($F29*$I29))*$I29))),$H29*$I29)*(MAX(IF(ROUNDDOWN(($E29-($F29+F$98-1)),0)&gt;0,1,($E29-($F29+F$98-1))),0))</f>
        <v>0</v>
      </c>
      <c r="G103" s="153">
        <f>IF($J29="Straight Line",(IF(($H29/(1-($F29*$I29))*$I29)&gt;($H29-SUM($F103:F103)),($H29-SUM($F103:F103)),($H29/(1-($F29*$I29))*$I29))),($H29-SUM($F103:F103))*$I29)*(MAX(IF(ROUNDDOWN(($E29-($F29+G$98-1)),0)&gt;0,1,($E29-($F29+G$98-1))),0))</f>
        <v>0</v>
      </c>
      <c r="H103" s="153">
        <f>IF($J29="Straight Line",(IF(($H29/(1-($F29*$I29))*$I29)&gt;($H29-SUM($F103:G103)),($H29-SUM($F103:G103)),($H29/(1-($F29*$I29))*$I29))),($H29-SUM($F103:G103))*$I29)*(MAX(IF(ROUNDDOWN(($E29-($F29+H$98-1)),0)&gt;0,1,($E29-($F29+H$98-1))),0))</f>
        <v>0</v>
      </c>
      <c r="I103" s="153">
        <f>IF($J29="Straight Line",(IF(($H29/(1-($F29*$I29))*$I29)&gt;($H29-SUM($F103:H103)),($H29-SUM($F103:H103)),($H29/(1-($F29*$I29))*$I29))),($H29-SUM($F103:H103))*$I29)*(MAX(IF(ROUNDDOWN(($E29-($F29+I$98-1)),0)&gt;0,1,($E29-($F29+I$98-1))),0))</f>
        <v>0</v>
      </c>
      <c r="J103" s="153">
        <f>IF($J29="Straight Line",(IF(($H29/(1-($F29*$I29))*$I29)&gt;($H29-SUM($F103:I103)),($H29-SUM($F103:I103)),($H29/(1-($F29*$I29))*$I29))),($H29-SUM($F103:I103))*$I29)*(MAX(IF(ROUNDDOWN(($E29-($F29+J$98-1)),0)&gt;0,1,($E29-($F29+J$98-1))),0))</f>
        <v>0</v>
      </c>
      <c r="K103" s="196">
        <f>IF(AND(($E29-$F29)&gt;5,($H29-SUM($F103:$J103))&gt;0),IF($J29="Straight Line",(MAX((($H29/(1-($F29*$I29)))*(1-($I29*MIN($E29,1/$I29))))/((1+$K$271)^($E29-$F29-5)),0)),(MAX((($H29/(1-$I29)^$F29)*((1-$I29)^$E29))/((1+$K$271)^($E29-$F29-5)),0))),0)</f>
        <v>0</v>
      </c>
      <c r="L103" s="153">
        <f>IF(AND(($E29-$F29)&gt;5,($H29-SUM($F103:$J103))&gt;0),IF(J29="Straight Line",(-PV($K$271,(MIN($E29,1/$I29)-$F29-5),(($H29/(1-($F29*$I29)))*I29))),(-PV($K$271,($E29-$F29-5),(($H29-SUM($F103:$J103))*($I29*0.67))))),0)</f>
        <v>0</v>
      </c>
      <c r="M103" s="153"/>
      <c r="N103" s="153"/>
      <c r="O103" s="178"/>
      <c r="T103" s="139"/>
    </row>
    <row r="104" spans="2:20" ht="12.75" hidden="1">
      <c r="B104" s="150"/>
      <c r="C104" s="192"/>
      <c r="D104" s="192"/>
      <c r="E104" s="192"/>
      <c r="F104" s="198">
        <f aca="true" t="shared" si="34" ref="F104:L104">SUM(F99:F103)</f>
        <v>0</v>
      </c>
      <c r="G104" s="198">
        <f t="shared" si="34"/>
        <v>0</v>
      </c>
      <c r="H104" s="198">
        <f t="shared" si="34"/>
        <v>0</v>
      </c>
      <c r="I104" s="198">
        <f t="shared" si="34"/>
        <v>0</v>
      </c>
      <c r="J104" s="198">
        <f t="shared" si="34"/>
        <v>0</v>
      </c>
      <c r="K104" s="199">
        <f t="shared" si="34"/>
        <v>0</v>
      </c>
      <c r="L104" s="198">
        <f t="shared" si="34"/>
        <v>0</v>
      </c>
      <c r="M104" s="151"/>
      <c r="N104" s="151"/>
      <c r="O104" s="178"/>
      <c r="T104" s="139"/>
    </row>
    <row r="105" spans="2:20" ht="12.75" hidden="1">
      <c r="B105" s="150"/>
      <c r="C105" s="192" t="s">
        <v>43</v>
      </c>
      <c r="D105" s="192"/>
      <c r="E105" s="192"/>
      <c r="F105" s="151"/>
      <c r="G105" s="151"/>
      <c r="H105" s="151"/>
      <c r="I105" s="151"/>
      <c r="J105" s="151"/>
      <c r="K105" s="151"/>
      <c r="L105" s="151"/>
      <c r="M105" s="192"/>
      <c r="N105" s="192"/>
      <c r="O105" s="178"/>
      <c r="T105" s="139"/>
    </row>
    <row r="106" spans="2:20" ht="12.75" hidden="1">
      <c r="B106" s="150"/>
      <c r="C106" s="192">
        <f>C33</f>
        <v>0</v>
      </c>
      <c r="D106" s="192"/>
      <c r="E106" s="192"/>
      <c r="F106" s="153">
        <f>IF(F$98&gt;=$F33,IF($K33="Straight Line",(IF((($G33*$J33))&gt;$G33,($G33),($G33*$J33))),($G33*$J33)),0)*(MAX(IF(ROUNDDOWN((($E33+$F33)-F$98),0)&gt;0,1,(($E33+$F33)-F$98)),0))</f>
        <v>0</v>
      </c>
      <c r="G106" s="153">
        <f>IF(G$98&gt;=$F33,IF($K33="Straight Line",(IF((SUM($F106:F106)+($G33*$J33))&gt;$G33,($G33-SUM($F106:F106)),($G33*$J33))),(($G33-SUM($F106:F106))*$J33)),0)*(MAX(IF(ROUNDDOWN((($E33+$F33)-G$98),0)&gt;0,1,(($E33+$F33)-G$98)),0))</f>
        <v>0</v>
      </c>
      <c r="H106" s="153">
        <f>IF(H$98&gt;=$F33,IF($K33="Straight Line",(IF((SUM($F106:G106)+($G33*$J33))&gt;$G33,($G33-SUM($F106:G106)),($G33*$J33))),(($G33-SUM($F106:G106))*$J33)),0)*(MAX(IF(ROUNDDOWN((($E33+$F33)-H$98),0)&gt;0,1,(($E33+$F33)-H$98)),0))</f>
        <v>0</v>
      </c>
      <c r="I106" s="153">
        <f>IF(I$98&gt;=$F33,IF($K33="Straight Line",(IF((SUM($F106:H106)+($G33*$J33))&gt;$G33,($G33-SUM($F106:H106)),($G33*$J33))),(($G33-SUM($F106:H106))*$J33)),0)*(MAX(IF(ROUNDDOWN((($E33+$F33)-I$98),0)&gt;0,1,(($E33+$F33)-I$98)),0))</f>
        <v>0</v>
      </c>
      <c r="J106" s="153">
        <f>IF(J$98&gt;=$F33,IF($K33="Straight Line",(IF((SUM($F106:I106)+($G33*$J33))&gt;$G33,($G33-SUM($F106:I106)),($G33*$J33))),(($G33-SUM($F106:I106))*$J33)),0)*(MAX(IF(ROUNDDOWN((($E33+$F33)-J$98),0)&gt;0,1,(($E33+$F33)-J$98)),0))</f>
        <v>0</v>
      </c>
      <c r="K106" s="196">
        <f>IF(AND(($E33+$F33-6)&gt;5,($G33-SUM($F106:$J106))&gt;0),IF($K33="Straight Line",(MAX(($G33*(1-($J33*$E33)))/((1+$K$271)^($E33+$F33-6)),0)),(MAX(($G33*((1-$J33)^$E33))/((1+$K$271)^($E33+$F33-6)),0))),0)</f>
        <v>0</v>
      </c>
      <c r="L106" s="153">
        <f>IF(AND(($E33+$F33-6)&gt;5,($G33-SUM($F106:$J106))&gt;0),IF($K33="Straight Line",(-PV($K$271,(MIN($E33,1/$J33)+$F33-6),($G33*$J33))),(-PV($K$271,($E33+$F33-6),(($G33-SUM($F106:$J106))*($J33*0.67))))),0)</f>
        <v>0</v>
      </c>
      <c r="M106" s="153"/>
      <c r="N106" s="153"/>
      <c r="O106" s="178"/>
      <c r="T106" s="139"/>
    </row>
    <row r="107" spans="2:20" ht="12.75" hidden="1">
      <c r="B107" s="150"/>
      <c r="C107" s="192">
        <f>C34</f>
        <v>0</v>
      </c>
      <c r="D107" s="192"/>
      <c r="E107" s="192"/>
      <c r="F107" s="153">
        <f>IF(F$98&gt;=$F34,IF($K34="Straight Line",(IF((($G34*$J34))&gt;$G34,($G34),($G34*$J34))),($G34*$J34)),0)*(MAX(IF(ROUNDDOWN((($E34+$F34)-F$98),0)&gt;0,1,(($E34+$F34)-F$98)),0))</f>
        <v>0</v>
      </c>
      <c r="G107" s="153">
        <f>IF(G$98&gt;=$F34,IF($K34="Straight Line",(IF((SUM($F107:F107)+($G34*$J34))&gt;$G34,($G34-SUM($F107:F107)),($G34*$J34))),(($G34-SUM($F107:F107))*$J34)),0)*(MAX(IF(ROUNDDOWN((($E34+$F34)-G$98),0)&gt;0,1,(($E34+$F34)-G$98)),0))</f>
        <v>0</v>
      </c>
      <c r="H107" s="153">
        <f>IF(H$98&gt;=$F34,IF($K34="Straight Line",(IF((SUM($F107:G107)+($G34*$J34))&gt;$G34,($G34-SUM($F107:G107)),($G34*$J34))),(($G34-SUM($F107:G107))*$J34)),0)*(MAX(IF(ROUNDDOWN((($E34+$F34)-H$98),0)&gt;0,1,(($E34+$F34)-H$98)),0))</f>
        <v>0</v>
      </c>
      <c r="I107" s="153">
        <f>IF(I$98&gt;=$F34,IF($K34="Straight Line",(IF((SUM($F107:H107)+($G34*$J34))&gt;$G34,($G34-SUM($F107:H107)),($G34*$J34))),(($G34-SUM($F107:H107))*$J34)),0)*(MAX(IF(ROUNDDOWN((($E34+$F34)-I$98),0)&gt;0,1,(($E34+$F34)-I$98)),0))</f>
        <v>0</v>
      </c>
      <c r="J107" s="153">
        <f>IF(J$98&gt;=$F34,IF($K34="Straight Line",(IF((SUM($F107:I107)+($G34*$J34))&gt;$G34,($G34-SUM($F107:I107)),($G34*$J34))),(($G34-SUM($F107:I107))*$J34)),0)*(MAX(IF(ROUNDDOWN((($E34+$F34)-J$98),0)&gt;0,1,(($E34+$F34)-J$98)),0))</f>
        <v>0</v>
      </c>
      <c r="K107" s="196">
        <f>IF(AND(($E34+$F34-6)&gt;5,($G34-SUM($F107:$J107))&gt;0),IF($K34="Straight Line",(MAX(($G34*(1-($J34*$E34)))/((1+$K$271)^($E34+$F34-6)),0)),(MAX(($G34*((1-$J34)^$E34))/((1+$K$271)^($E34+$F34-6)),0))),0)</f>
        <v>0</v>
      </c>
      <c r="L107" s="153">
        <f>IF(AND(($E34+$F34-6)&gt;5,($G34-SUM($F107:$J107))&gt;0),IF($K34="Straight Line",(-PV($K$271,(MIN($E34,1/$J34)+$F34-6),($G34*$J34))),(-PV($K$271,($E34+$F34-6),(($G34-SUM($F107:$J107))*($J34*0.67))))),0)</f>
        <v>0</v>
      </c>
      <c r="M107" s="153"/>
      <c r="N107" s="153"/>
      <c r="O107" s="235"/>
      <c r="T107" s="139"/>
    </row>
    <row r="108" spans="2:20" ht="12.75" hidden="1">
      <c r="B108" s="150"/>
      <c r="C108" s="192">
        <f>C35</f>
        <v>0</v>
      </c>
      <c r="D108" s="192"/>
      <c r="E108" s="192"/>
      <c r="F108" s="153">
        <f>IF(F$98&gt;=$F35,IF($K35="Straight Line",(IF((($G35*$J35))&gt;$G35,($G35),($G35*$J35))),($G35*$J35)),0)*(MAX(IF(ROUNDDOWN((($E35+$F35)-F$98),0)&gt;0,1,(($E35+$F35)-F$98)),0))</f>
        <v>0</v>
      </c>
      <c r="G108" s="153">
        <f>IF(G$98&gt;=$F35,IF($K35="Straight Line",(IF((SUM($F108:F108)+($G35*$J35))&gt;$G35,($G35-SUM($F108:F108)),($G35*$J35))),(($G35-SUM($F108:F108))*$J35)),0)*(MAX(IF(ROUNDDOWN((($E35+$F35)-G$98),0)&gt;0,1,(($E35+$F35)-G$98)),0))</f>
        <v>0</v>
      </c>
      <c r="H108" s="153">
        <f>IF(H$98&gt;=$F35,IF($K35="Straight Line",(IF((SUM($F108:G108)+($G35*$J35))&gt;$G35,($G35-SUM($F108:G108)),($G35*$J35))),(($G35-SUM($F108:G108))*$J35)),0)*(MAX(IF(ROUNDDOWN((($E35+$F35)-H$98),0)&gt;0,1,(($E35+$F35)-H$98)),0))</f>
        <v>0</v>
      </c>
      <c r="I108" s="153">
        <f>IF(I$98&gt;=$F35,IF($K35="Straight Line",(IF((SUM($F108:H108)+($G35*$J35))&gt;$G35,($G35-SUM($F108:H108)),($G35*$J35))),(($G35-SUM($F108:H108))*$J35)),0)*(MAX(IF(ROUNDDOWN((($E35+$F35)-I$98),0)&gt;0,1,(($E35+$F35)-I$98)),0))</f>
        <v>0</v>
      </c>
      <c r="J108" s="153">
        <f>IF(J$98&gt;=$F35,IF($K35="Straight Line",(IF((SUM($F108:I108)+($G35*$J35))&gt;$G35,($G35-SUM($F108:I108)),($G35*$J35))),(($G35-SUM($F108:I108))*$J35)),0)*(MAX(IF(ROUNDDOWN((($E35+$F35)-J$98),0)&gt;0,1,(($E35+$F35)-J$98)),0))</f>
        <v>0</v>
      </c>
      <c r="K108" s="196">
        <f>IF(AND(($E35+$F35-6)&gt;5,($G35-SUM($F108:$J108))&gt;0),IF($K35="Straight Line",(MAX(($G35*(1-($J35*$E35)))/((1+$K$271)^($E35+$F35-6)),0)),(MAX(($G35*((1-$J35)^$E35))/((1+$K$271)^($E35+$F35-6)),0))),0)</f>
        <v>0</v>
      </c>
      <c r="L108" s="153">
        <f>IF(AND(($E35+$F35-6)&gt;5,($G35-SUM($F108:$J108))&gt;0),IF($K35="Straight Line",(-PV($K$271,(MIN($E35,1/$J35)+$F35-6),($G35*$J35))),(-PV($K$271,($E35+$F35-6),(($G35-SUM($F108:$J108))*($J35*0.67))))),0)</f>
        <v>0</v>
      </c>
      <c r="M108" s="151"/>
      <c r="N108" s="151"/>
      <c r="O108" s="178"/>
      <c r="T108" s="139"/>
    </row>
    <row r="109" spans="2:20" ht="12.75" hidden="1">
      <c r="B109" s="150"/>
      <c r="C109" s="192">
        <f>C36</f>
        <v>0</v>
      </c>
      <c r="D109" s="192"/>
      <c r="E109" s="192"/>
      <c r="F109" s="153">
        <f>IF(F$98&gt;=$F36,IF($K36="Straight Line",(IF((($G36*$J36))&gt;$G36,($G36),($G36*$J36))),($G36*$J36)),0)*(MAX(IF(ROUNDDOWN((($E36+$F36)-F$98),0)&gt;0,1,(($E36+$F36)-F$98)),0))</f>
        <v>0</v>
      </c>
      <c r="G109" s="153">
        <f>IF(G$98&gt;=$F36,IF($K36="Straight Line",(IF((SUM($F109:F109)+($G36*$J36))&gt;$G36,($G36-SUM($F109:F109)),($G36*$J36))),(($G36-SUM($F109:F109))*$J36)),0)*(MAX(IF(ROUNDDOWN((($E36+$F36)-G$98),0)&gt;0,1,(($E36+$F36)-G$98)),0))</f>
        <v>0</v>
      </c>
      <c r="H109" s="153">
        <f>IF(H$98&gt;=$F36,IF($K36="Straight Line",(IF((SUM($F109:G109)+($G36*$J36))&gt;$G36,($G36-SUM($F109:G109)),($G36*$J36))),(($G36-SUM($F109:G109))*$J36)),0)*(MAX(IF(ROUNDDOWN((($E36+$F36)-H$98),0)&gt;0,1,(($E36+$F36)-H$98)),0))</f>
        <v>0</v>
      </c>
      <c r="I109" s="153">
        <f>IF(I$98&gt;=$F36,IF($K36="Straight Line",(IF((SUM($F109:H109)+($G36*$J36))&gt;$G36,($G36-SUM($F109:H109)),($G36*$J36))),(($G36-SUM($F109:H109))*$J36)),0)*(MAX(IF(ROUNDDOWN((($E36+$F36)-I$98),0)&gt;0,1,(($E36+$F36)-I$98)),0))</f>
        <v>0</v>
      </c>
      <c r="J109" s="153">
        <f>IF(J$98&gt;=$F36,IF($K36="Straight Line",(IF((SUM($F109:I109)+($G36*$J36))&gt;$G36,($G36-SUM($F109:I109)),($G36*$J36))),(($G36-SUM($F109:I109))*$J36)),0)*(MAX(IF(ROUNDDOWN((($E36+$F36)-J$98),0)&gt;0,1,(($E36+$F36)-J$98)),0))</f>
        <v>0</v>
      </c>
      <c r="K109" s="196">
        <f>IF(AND(($E36+$F36-6)&gt;5,($G36-SUM($F109:$J109))&gt;0),IF($K36="Straight Line",(MAX(($G36*(1-($J36*$E36)))/((1+$K$271)^($E36+$F36-6)),0)),(MAX(($G36*((1-$J36)^$E36))/((1+$K$271)^($E36+$F36-6)),0))),0)</f>
        <v>0</v>
      </c>
      <c r="L109" s="153">
        <f>IF(AND(($E36+$F36-6)&gt;5,($G36-SUM($F109:$J109))&gt;0),IF($K36="Straight Line",(-PV($K$271,(MIN($E36,1/$J36)+$F36-6),($G36*$J36))),(-PV($K$271,($E36+$F36-6),(($G36-SUM($F109:$J109))*($J36*0.67))))),0)</f>
        <v>0</v>
      </c>
      <c r="M109" s="151"/>
      <c r="N109" s="236"/>
      <c r="O109" s="197"/>
      <c r="P109" s="59"/>
      <c r="T109" s="139"/>
    </row>
    <row r="110" spans="2:20" ht="12.75" hidden="1">
      <c r="B110" s="150"/>
      <c r="C110" s="192">
        <f>C37</f>
        <v>0</v>
      </c>
      <c r="D110" s="192"/>
      <c r="E110" s="192"/>
      <c r="F110" s="153">
        <f>IF(F$98&gt;=$F37,IF($K37="Straight Line",(IF((($G37*$J37))&gt;$G37,($G37),($G37*$J37))),($G37*$J37)),0)*(MAX(IF(ROUNDDOWN((($E37+$F37)-F$98),0)&gt;0,1,(($E37+$F37)-F$98)),0))</f>
        <v>0</v>
      </c>
      <c r="G110" s="153">
        <f>IF(G$98&gt;=$F37,IF($K37="Straight Line",(IF((SUM($F110:F110)+($G37*$J37))&gt;$G37,($G37-SUM($F110:F110)),($G37*$J37))),(($G37-SUM($F110:F110))*$J37)),0)*(MAX(IF(ROUNDDOWN((($E37+$F37)-G$98),0)&gt;0,1,(($E37+$F37)-G$98)),0))</f>
        <v>0</v>
      </c>
      <c r="H110" s="153">
        <f>IF(H$98&gt;=$F37,IF($K37="Straight Line",(IF((SUM($F110:G110)+($G37*$J37))&gt;$G37,($G37-SUM($F110:G110)),($G37*$J37))),(($G37-SUM($F110:G110))*$J37)),0)*(MAX(IF(ROUNDDOWN((($E37+$F37)-H$98),0)&gt;0,1,(($E37+$F37)-H$98)),0))</f>
        <v>0</v>
      </c>
      <c r="I110" s="153">
        <f>IF(I$98&gt;=$F37,IF($K37="Straight Line",(IF((SUM($F110:H110)+($G37*$J37))&gt;$G37,($G37-SUM($F110:H110)),($G37*$J37))),(($G37-SUM($F110:H110))*$J37)),0)*(MAX(IF(ROUNDDOWN((($E37+$F37)-I$98),0)&gt;0,1,(($E37+$F37)-I$98)),0))</f>
        <v>0</v>
      </c>
      <c r="J110" s="153">
        <f>IF(J$98&gt;=$F37,IF($K37="Straight Line",(IF((SUM($F110:I110)+($G37*$J37))&gt;$G37,($G37-SUM($F110:I110)),($G37*$J37))),(($G37-SUM($F110:I110))*$J37)),0)*(MAX(IF(ROUNDDOWN((($E37+$F37)-J$98),0)&gt;0,1,(($E37+$F37)-J$98)),0))</f>
        <v>0</v>
      </c>
      <c r="K110" s="196">
        <f>IF(AND(($E37+$F37-6)&gt;5,($G37-SUM($F110:$J110))&gt;0),IF($K37="Straight Line",(MAX(($G37*(1-($J37*$E37)))/((1+$K$271)^($E37+$F37-6)),0)),(MAX(($G37*((1-$J37)^$E37))/((1+$K$271)^($E37+$F37-6)),0))),0)</f>
        <v>0</v>
      </c>
      <c r="L110" s="153">
        <f>IF(AND(($E37+$F37-6)&gt;5,($G37-SUM($F110:$J110))&gt;0),IF($K37="Straight Line",(-PV($K$271,(MIN($E37,1/$J37)+$F37-6),($G37*$J37))),(-PV($K$271,($E37+$F37-6),(($G37-SUM($F110:$J110))*($J37*0.67))))),0)</f>
        <v>0</v>
      </c>
      <c r="M110" s="151"/>
      <c r="N110" s="151"/>
      <c r="O110" s="178"/>
      <c r="T110" s="139"/>
    </row>
    <row r="111" spans="2:20" ht="12.75" hidden="1">
      <c r="B111" s="150"/>
      <c r="C111" s="192"/>
      <c r="D111" s="192"/>
      <c r="E111" s="192"/>
      <c r="F111" s="198">
        <f aca="true" t="shared" si="35" ref="F111:L111">SUM(F106:F110)</f>
        <v>0</v>
      </c>
      <c r="G111" s="198">
        <f t="shared" si="35"/>
        <v>0</v>
      </c>
      <c r="H111" s="198">
        <f t="shared" si="35"/>
        <v>0</v>
      </c>
      <c r="I111" s="198">
        <f t="shared" si="35"/>
        <v>0</v>
      </c>
      <c r="J111" s="198">
        <f t="shared" si="35"/>
        <v>0</v>
      </c>
      <c r="K111" s="199">
        <f t="shared" si="35"/>
        <v>0</v>
      </c>
      <c r="L111" s="198">
        <f t="shared" si="35"/>
        <v>0</v>
      </c>
      <c r="M111" s="151"/>
      <c r="N111" s="151"/>
      <c r="O111" s="197"/>
      <c r="T111" s="139"/>
    </row>
    <row r="112" spans="2:20" ht="4.5" customHeight="1" hidden="1">
      <c r="B112" s="150"/>
      <c r="C112" s="192"/>
      <c r="D112" s="192"/>
      <c r="E112" s="192"/>
      <c r="F112" s="153"/>
      <c r="G112" s="153"/>
      <c r="H112" s="153"/>
      <c r="I112" s="153"/>
      <c r="J112" s="153"/>
      <c r="K112" s="153"/>
      <c r="L112" s="153"/>
      <c r="M112" s="151"/>
      <c r="N112" s="151"/>
      <c r="O112" s="178"/>
      <c r="T112" s="139"/>
    </row>
    <row r="113" spans="2:20" ht="13.5" hidden="1" thickBot="1">
      <c r="B113" s="150"/>
      <c r="C113" s="202" t="s">
        <v>120</v>
      </c>
      <c r="D113" s="192"/>
      <c r="E113" s="192"/>
      <c r="F113" s="203">
        <f aca="true" t="shared" si="36" ref="F113:L113">F104+F111</f>
        <v>0</v>
      </c>
      <c r="G113" s="203">
        <f t="shared" si="36"/>
        <v>0</v>
      </c>
      <c r="H113" s="203">
        <f t="shared" si="36"/>
        <v>0</v>
      </c>
      <c r="I113" s="203">
        <f t="shared" si="36"/>
        <v>0</v>
      </c>
      <c r="J113" s="203">
        <f t="shared" si="36"/>
        <v>0</v>
      </c>
      <c r="K113" s="204">
        <f t="shared" si="36"/>
        <v>0</v>
      </c>
      <c r="L113" s="203">
        <f t="shared" si="36"/>
        <v>0</v>
      </c>
      <c r="M113" s="151"/>
      <c r="N113" s="151"/>
      <c r="O113" s="178"/>
      <c r="T113" s="139"/>
    </row>
    <row r="114" spans="2:20" ht="6" customHeight="1" hidden="1">
      <c r="B114" s="150"/>
      <c r="C114" s="192"/>
      <c r="D114" s="192"/>
      <c r="E114" s="192"/>
      <c r="F114" s="153"/>
      <c r="G114" s="153"/>
      <c r="H114" s="153"/>
      <c r="I114" s="153"/>
      <c r="J114" s="153"/>
      <c r="K114" s="153"/>
      <c r="L114" s="153"/>
      <c r="M114" s="151"/>
      <c r="N114" s="151"/>
      <c r="O114" s="178"/>
      <c r="T114" s="139"/>
    </row>
    <row r="115" spans="2:20" ht="12.75" hidden="1">
      <c r="B115" s="150"/>
      <c r="C115" s="192" t="s">
        <v>42</v>
      </c>
      <c r="D115" s="192"/>
      <c r="E115" s="192"/>
      <c r="F115" s="153"/>
      <c r="G115" s="153"/>
      <c r="H115" s="153"/>
      <c r="I115" s="153"/>
      <c r="J115" s="153"/>
      <c r="K115" s="194" t="s">
        <v>158</v>
      </c>
      <c r="L115" s="194" t="s">
        <v>159</v>
      </c>
      <c r="M115" s="151"/>
      <c r="N115" s="151"/>
      <c r="O115" s="178"/>
      <c r="T115" s="139"/>
    </row>
    <row r="116" spans="2:20" ht="12.75" hidden="1">
      <c r="B116" s="150"/>
      <c r="C116" s="195">
        <f>C25</f>
        <v>0</v>
      </c>
      <c r="D116" s="192"/>
      <c r="E116" s="192"/>
      <c r="F116" s="153">
        <f>IF($M25="Straight Line",(IF(($K25/(1-($F25*$L25))*$L25)&gt;$K25,$K25,($K25/(1-($F25*$L25))*$L25))),$K25*$L25)*(MAX(IF(ROUNDDOWN(($E25-($F25+F$98-1)),0)&gt;0,1,($E25-($F25+F$98-1))),0))</f>
        <v>0</v>
      </c>
      <c r="G116" s="153">
        <f>IF($M25="Straight Line",(IF(($K25/(1-($F25*$L25))*$L25)&gt;($K25-SUM($F116:F116)),($K25-SUM($F116:F116)),($K25/(1-($F25*$L25))*$L25))),($K25-SUM($F116:F116))*$L25)*(MAX(IF(ROUNDDOWN(($E25-($F25+G$98-1)),0)&gt;0,1,($E25-($F25+G$98-1))),0))</f>
        <v>0</v>
      </c>
      <c r="H116" s="153">
        <f>IF($M25="Straight Line",(IF(($K25/(1-($F25*$L25))*$L25)&gt;($K25-SUM($F116:G116)),($K25-SUM($F116:G116)),($K25/(1-($F25*$L25))*$L25))),($K25-SUM($F116:G116))*$L25)*(MAX(IF(ROUNDDOWN(($E25-($F25+H$98-1)),0)&gt;0,1,($E25-($F25+H$98-1))),0))</f>
        <v>0</v>
      </c>
      <c r="I116" s="153">
        <f>IF($M25="Straight Line",(IF(($K25/(1-($F25*$L25))*$L25)&gt;($K25-SUM($F116:H116)),($K25-SUM($F116:H116)),($K25/(1-($F25*$L25))*$L25))),($K25-SUM($F116:H116))*$L25)*(MAX(IF(ROUNDDOWN(($E25-($F25+I$98-1)),0)&gt;0,1,($E25-($F25+I$98-1))),0))</f>
        <v>0</v>
      </c>
      <c r="J116" s="153">
        <f>IF($M25="Straight Line",(IF(($K25/(1-($F25*$L25))*$L25)&gt;($K25-SUM($F116:I116)),($K25-SUM($F116:I116)),($K25/(1-($F25*$L25))*$L25))),($K25-SUM($F116:I116))*$L25)*(MAX(IF(ROUNDDOWN(($E25-($F25+J$98-1)),0)&gt;0,1,($E25-($F25+J$98-1))),0))</f>
        <v>0</v>
      </c>
      <c r="K116" s="196">
        <f>IF(AND(($E25-$F25)&gt;5,($K25-SUM($F116:$J116))&gt;0),IF($M25="Straight Line",(MAX((($K25/(1-($F25*$L25)))*(1-($L25*MIN($E25,1/$L25))))/((1+$K$271)^($E25-$F25-5)),0)),(MAX((($K25/(1-$L25)^$F25)*((1-$L25)^$E25))/((1+$K$271)^($E25-$F25-5)),0))),0)</f>
        <v>0</v>
      </c>
      <c r="L116" s="153">
        <f>IF(AND(($E25-$F25)&gt;5,($K25-SUM($F116:$J116))&gt;0),IF($M25="Straight Line",(-PV($K$271,(MIN($E25,1/$L25)-$F25-5),(($K25/(1-($F25*$L25)))*L25))),(-PV($K$271,($E25-$F25-5),(($K25-SUM($F116:$J116))*($L25*0.67))))),0)</f>
        <v>0</v>
      </c>
      <c r="M116" s="151"/>
      <c r="N116" s="151"/>
      <c r="O116" s="205"/>
      <c r="T116" s="139"/>
    </row>
    <row r="117" spans="2:20" ht="12.75" hidden="1">
      <c r="B117" s="150"/>
      <c r="C117" s="195">
        <f>C26</f>
        <v>0</v>
      </c>
      <c r="D117" s="192"/>
      <c r="E117" s="192"/>
      <c r="F117" s="153">
        <f>IF($M26="Straight Line",(IF(($K26/(1-($F26*$L26))*$L26)&gt;$K26,$K26,($K26/(1-($F26*$L26))*$L26))),$K26*$L26)*(MAX(IF(ROUNDDOWN(($E26-($F26+F$98-1)),0)&gt;0,1,($E26-($F26+F$98-1))),0))</f>
        <v>0</v>
      </c>
      <c r="G117" s="153">
        <f>IF($M26="Straight Line",(IF(($K26/(1-($F26*$L26))*$L26)&gt;($K26-SUM($F117:F117)),($K26-SUM($F117:F117)),($K26/(1-($F26*$L26))*$L26))),($K26-SUM($F117:F117))*$L26)*(MAX(IF(ROUNDDOWN(($E26-($F26+G$98-1)),0)&gt;0,1,($E26-($F26+G$98-1))),0))</f>
        <v>0</v>
      </c>
      <c r="H117" s="153">
        <f>IF($M26="Straight Line",(IF(($K26/(1-($F26*$L26))*$L26)&gt;($K26-SUM($F117:G117)),($K26-SUM($F117:G117)),($K26/(1-($F26*$L26))*$L26))),($K26-SUM($F117:G117))*$L26)*(MAX(IF(ROUNDDOWN(($E26-($F26+H$98-1)),0)&gt;0,1,($E26-($F26+H$98-1))),0))</f>
        <v>0</v>
      </c>
      <c r="I117" s="153">
        <f>IF($M26="Straight Line",(IF(($K26/(1-($F26*$L26))*$L26)&gt;($K26-SUM($F117:H117)),($K26-SUM($F117:H117)),($K26/(1-($F26*$L26))*$L26))),($K26-SUM($F117:H117))*$L26)*(MAX(IF(ROUNDDOWN(($E26-($F26+I$98-1)),0)&gt;0,1,($E26-($F26+I$98-1))),0))</f>
        <v>0</v>
      </c>
      <c r="J117" s="153">
        <f>IF($M26="Straight Line",(IF(($K26/(1-($F26*$L26))*$L26)&gt;($K26-SUM($F117:I117)),($K26-SUM($F117:I117)),($K26/(1-($F26*$L26))*$L26))),($K26-SUM($F117:I117))*$L26)*(MAX(IF(ROUNDDOWN(($E26-($F26+J$98-1)),0)&gt;0,1,($E26-($F26+J$98-1))),0))</f>
        <v>0</v>
      </c>
      <c r="K117" s="196">
        <f>IF(AND(($E26-$F26)&gt;5,($K26-SUM($F117:$J117))&gt;0),IF($M26="Straight Line",(MAX((($K26/(1-($F26*$L26)))*(1-($L26*MIN($E26,1/$L26))))/((1+$K$271)^($E26-$F26-5)),0)),(MAX((($K26/(1-$L26)^$F26)*((1-$L26)^$E26))/((1+$K$271)^($E26-$F26-5)),0))),0)</f>
        <v>0</v>
      </c>
      <c r="L117" s="153">
        <f>IF(AND(($E26-$F26)&gt;5,($K26-SUM($F117:$J117))&gt;0),IF($M26="Straight Line",(-PV($K$271,(MIN($E26,1/$L26)-$F26-5),(($K26/(1-($F26*$L26)))*L26))),(-PV($K$271,($E26-$F26-5),(($K26-SUM($F117:$J117))*($L26*0.67))))),0)</f>
        <v>0</v>
      </c>
      <c r="M117" s="151"/>
      <c r="N117" s="151"/>
      <c r="O117" s="178"/>
      <c r="T117" s="139"/>
    </row>
    <row r="118" spans="2:20" ht="12.75" hidden="1">
      <c r="B118" s="150"/>
      <c r="C118" s="195">
        <f>C27</f>
        <v>0</v>
      </c>
      <c r="D118" s="192"/>
      <c r="E118" s="192"/>
      <c r="F118" s="153">
        <f>IF($M27="Straight Line",(IF(($K27/(1-($F27*$L27))*$L27)&gt;$K27,$K27,($K27/(1-($F27*$L27))*$L27))),$K27*$L27)*(MAX(IF(ROUNDDOWN(($E27-($F27+F$98-1)),0)&gt;0,1,($E27-($F27+F$98-1))),0))</f>
        <v>0</v>
      </c>
      <c r="G118" s="153">
        <f>IF($M27="Straight Line",(IF(($K27/(1-($F27*$L27))*$L27)&gt;($K27-SUM($F118:F118)),($K27-SUM($F118:F118)),($K27/(1-($F27*$L27))*$L27))),($K27-SUM($F118:F118))*$L27)*(MAX(IF(ROUNDDOWN(($E27-($F27+G$98-1)),0)&gt;0,1,($E27-($F27+G$98-1))),0))</f>
        <v>0</v>
      </c>
      <c r="H118" s="153">
        <f>IF($M27="Straight Line",(IF(($K27/(1-($F27*$L27))*$L27)&gt;($K27-SUM($F118:G118)),($K27-SUM($F118:G118)),($K27/(1-($F27*$L27))*$L27))),($K27-SUM($F118:G118))*$L27)*(MAX(IF(ROUNDDOWN(($E27-($F27+H$98-1)),0)&gt;0,1,($E27-($F27+H$98-1))),0))</f>
        <v>0</v>
      </c>
      <c r="I118" s="153">
        <f>IF($M27="Straight Line",(IF(($K27/(1-($F27*$L27))*$L27)&gt;($K27-SUM($F118:H118)),($K27-SUM($F118:H118)),($K27/(1-($F27*$L27))*$L27))),($K27-SUM($F118:H118))*$L27)*(MAX(IF(ROUNDDOWN(($E27-($F27+I$98-1)),0)&gt;0,1,($E27-($F27+I$98-1))),0))</f>
        <v>0</v>
      </c>
      <c r="J118" s="153">
        <f>IF($M27="Straight Line",(IF(($K27/(1-($F27*$L27))*$L27)&gt;($K27-SUM($F118:I118)),($K27-SUM($F118:I118)),($K27/(1-($F27*$L27))*$L27))),($K27-SUM($F118:I118))*$L27)*(MAX(IF(ROUNDDOWN(($E27-($F27+J$98-1)),0)&gt;0,1,($E27-($F27+J$98-1))),0))</f>
        <v>0</v>
      </c>
      <c r="K118" s="196">
        <f>IF(AND(($E27-$F27)&gt;5,($K27-SUM($F118:$J118))&gt;0),IF($M27="Straight Line",(MAX((($K27/(1-($F27*$L27)))*(1-($L27*MIN($E27,1/$L27))))/((1+$K$271)^($E27-$F27-5)),0)),(MAX((($K27/(1-$L27)^$F27)*((1-$L27)^$E27))/((1+$K$271)^($E27-$F27-5)),0))),0)</f>
        <v>0</v>
      </c>
      <c r="L118" s="153">
        <f>IF(AND(($E27-$F27)&gt;5,($K27-SUM($F118:$J118))&gt;0),IF($M27="Straight Line",(-PV($K$271,(MIN($E27,1/$L27)-$F27-5),(($K27/(1-($F27*$L27)))*L27))),(-PV($K$271,($E27-$F27-5),(($K27-SUM($F118:$J118))*($L27*0.67))))),0)</f>
        <v>0</v>
      </c>
      <c r="M118" s="151"/>
      <c r="N118" s="151"/>
      <c r="O118" s="178"/>
      <c r="T118" s="139"/>
    </row>
    <row r="119" spans="2:20" ht="12.75" hidden="1">
      <c r="B119" s="150"/>
      <c r="C119" s="195">
        <f>C28</f>
        <v>0</v>
      </c>
      <c r="D119" s="192"/>
      <c r="E119" s="192"/>
      <c r="F119" s="153">
        <f>IF($M28="Straight Line",(IF(($K28/(1-($F28*$L28))*$L28)&gt;$K28,$K28,($K28/(1-($F28*$L28))*$L28))),$K28*$L28)*(MAX(IF(ROUNDDOWN(($E28-($F28+F$98-1)),0)&gt;0,1,($E28-($F28+F$98-1))),0))</f>
        <v>0</v>
      </c>
      <c r="G119" s="153">
        <f>IF($M28="Straight Line",(IF(($K28/(1-($F28*$L28))*$L28)&gt;($K28-SUM($F119:F119)),($K28-SUM($F119:F119)),($K28/(1-($F28*$L28))*$L28))),($K28-SUM($F119:F119))*$L28)*(MAX(IF(ROUNDDOWN(($E28-($F28+G$98-1)),0)&gt;0,1,($E28-($F28+G$98-1))),0))</f>
        <v>0</v>
      </c>
      <c r="H119" s="153">
        <f>IF($M28="Straight Line",(IF(($K28/(1-($F28*$L28))*$L28)&gt;($K28-SUM($F119:G119)),($K28-SUM($F119:G119)),($K28/(1-($F28*$L28))*$L28))),($K28-SUM($F119:G119))*$L28)*(MAX(IF(ROUNDDOWN(($E28-($F28+H$98-1)),0)&gt;0,1,($E28-($F28+H$98-1))),0))</f>
        <v>0</v>
      </c>
      <c r="I119" s="153">
        <f>IF($M28="Straight Line",(IF(($K28/(1-($F28*$L28))*$L28)&gt;($K28-SUM($F119:H119)),($K28-SUM($F119:H119)),($K28/(1-($F28*$L28))*$L28))),($K28-SUM($F119:H119))*$L28)*(MAX(IF(ROUNDDOWN(($E28-($F28+I$98-1)),0)&gt;0,1,($E28-($F28+I$98-1))),0))</f>
        <v>0</v>
      </c>
      <c r="J119" s="153">
        <f>IF($M28="Straight Line",(IF(($K28/(1-($F28*$L28))*$L28)&gt;($K28-SUM($F119:I119)),($K28-SUM($F119:I119)),($K28/(1-($F28*$L28))*$L28))),($K28-SUM($F119:I119))*$L28)*(MAX(IF(ROUNDDOWN(($E28-($F28+J$98-1)),0)&gt;0,1,($E28-($F28+J$98-1))),0))</f>
        <v>0</v>
      </c>
      <c r="K119" s="196">
        <f>IF(AND(($E28-$F28)&gt;5,($K28-SUM($F119:$J119))&gt;0),IF($M28="Straight Line",(MAX((($K28/(1-($F28*$L28)))*(1-($L28*MIN($E28,1/$L28))))/((1+$K$271)^($E28-$F28-5)),0)),(MAX((($K28/(1-$L28)^$F28)*((1-$L28)^$E28))/((1+$K$271)^($E28-$F28-5)),0))),0)</f>
        <v>0</v>
      </c>
      <c r="L119" s="153">
        <f>IF(AND(($E28-$F28)&gt;5,($K28-SUM($F119:$J119))&gt;0),IF($M28="Straight Line",(-PV($K$271,(MIN($E28,1/$L28)-$F28-5),(($K28/(1-($F28*$L28)))*L28))),(-PV($K$271,($E28-$F28-5),(($K28-SUM($F119:$J119))*($L28*0.67))))),0)</f>
        <v>0</v>
      </c>
      <c r="M119" s="151"/>
      <c r="N119" s="151"/>
      <c r="O119" s="178"/>
      <c r="T119" s="139"/>
    </row>
    <row r="120" spans="2:20" ht="12.75" hidden="1">
      <c r="B120" s="150"/>
      <c r="C120" s="195">
        <f>C29</f>
        <v>0</v>
      </c>
      <c r="D120" s="192"/>
      <c r="E120" s="192"/>
      <c r="F120" s="153">
        <f>IF($M29="Straight Line",(IF(($K29/(1-($F29*$L29))*$L29)&gt;$K29,$K29,($K29/(1-($F29*$L29))*$L29))),$K29*$L29)*(MAX(IF(ROUNDDOWN(($E29-($F29+F$98-1)),0)&gt;0,1,($E29-($F29+F$98-1))),0))</f>
        <v>0</v>
      </c>
      <c r="G120" s="153">
        <f>IF($M29="Straight Line",(IF(($K29/(1-($F29*$L29))*$L29)&gt;($K29-SUM($F120:F120)),($K29-SUM($F120:F120)),($K29/(1-($F29*$L29))*$L29))),($K29-SUM($F120:F120))*$L29)*(MAX(IF(ROUNDDOWN(($E29-($F29+G$98-1)),0)&gt;0,1,($E29-($F29+G$98-1))),0))</f>
        <v>0</v>
      </c>
      <c r="H120" s="153">
        <f>IF($M29="Straight Line",(IF(($K29/(1-($F29*$L29))*$L29)&gt;($K29-SUM($F120:G120)),($K29-SUM($F120:G120)),($K29/(1-($F29*$L29))*$L29))),($K29-SUM($F120:G120))*$L29)*(MAX(IF(ROUNDDOWN(($E29-($F29+H$98-1)),0)&gt;0,1,($E29-($F29+H$98-1))),0))</f>
        <v>0</v>
      </c>
      <c r="I120" s="153">
        <f>IF($M29="Straight Line",(IF(($K29/(1-($F29*$L29))*$L29)&gt;($K29-SUM($F120:H120)),($K29-SUM($F120:H120)),($K29/(1-($F29*$L29))*$L29))),($K29-SUM($F120:H120))*$L29)*(MAX(IF(ROUNDDOWN(($E29-($F29+I$98-1)),0)&gt;0,1,($E29-($F29+I$98-1))),0))</f>
        <v>0</v>
      </c>
      <c r="J120" s="153">
        <f>IF($M29="Straight Line",(IF(($K29/(1-($F29*$L29))*$L29)&gt;($K29-SUM($F120:I120)),($K29-SUM($F120:I120)),($K29/(1-($F29*$L29))*$L29))),($K29-SUM($F120:I120))*$L29)*(MAX(IF(ROUNDDOWN(($E29-($F29+J$98-1)),0)&gt;0,1,($E29-($F29+J$98-1))),0))</f>
        <v>0</v>
      </c>
      <c r="K120" s="196">
        <f>IF(AND(($E29-$F29)&gt;5,($K29-SUM($F120:$J120))&gt;0),IF($M29="Straight Line",(MAX((($K29/(1-($F29*$L29)))*(1-($L29*MIN($E29,1/$L29))))/((1+$K$271)^($E29-$F29-5)),0)),(MAX((($K29/(1-$L29)^$F29)*((1-$L29)^$E29))/((1+$K$271)^($E29-$F29-5)),0))),0)</f>
        <v>0</v>
      </c>
      <c r="L120" s="153">
        <f>IF(AND(($E29-$F29)&gt;5,($K29-SUM($F120:$J120))&gt;0),IF($M29="Straight Line",(-PV($K$271,(MIN($E29,1/$L29)-$F29-5),(($K29/(1-($F29*$L29)))*L29))),(-PV($K$271,($E29-$F29-5),(($K29-SUM($F120:$J120))*($L29*0.67))))),0)</f>
        <v>0</v>
      </c>
      <c r="M120" s="151"/>
      <c r="N120" s="151"/>
      <c r="O120" s="178"/>
      <c r="T120" s="139"/>
    </row>
    <row r="121" spans="2:20" ht="12.75" hidden="1">
      <c r="B121" s="150"/>
      <c r="C121" s="192"/>
      <c r="D121" s="192"/>
      <c r="E121" s="192"/>
      <c r="F121" s="198">
        <f aca="true" t="shared" si="37" ref="F121:L121">SUM(F116:F120)</f>
        <v>0</v>
      </c>
      <c r="G121" s="198">
        <f t="shared" si="37"/>
        <v>0</v>
      </c>
      <c r="H121" s="198">
        <f t="shared" si="37"/>
        <v>0</v>
      </c>
      <c r="I121" s="198">
        <f t="shared" si="37"/>
        <v>0</v>
      </c>
      <c r="J121" s="198">
        <f t="shared" si="37"/>
        <v>0</v>
      </c>
      <c r="K121" s="199">
        <f t="shared" si="37"/>
        <v>0</v>
      </c>
      <c r="L121" s="198">
        <f t="shared" si="37"/>
        <v>0</v>
      </c>
      <c r="M121" s="151"/>
      <c r="N121" s="151"/>
      <c r="O121" s="178"/>
      <c r="T121" s="139"/>
    </row>
    <row r="122" spans="2:20" ht="12.75" hidden="1">
      <c r="B122" s="150"/>
      <c r="C122" s="192" t="s">
        <v>44</v>
      </c>
      <c r="D122" s="192"/>
      <c r="E122" s="192"/>
      <c r="F122" s="153"/>
      <c r="G122" s="153"/>
      <c r="H122" s="153"/>
      <c r="I122" s="153"/>
      <c r="J122" s="153"/>
      <c r="K122" s="151"/>
      <c r="L122" s="153"/>
      <c r="M122" s="151"/>
      <c r="N122" s="151"/>
      <c r="O122" s="178"/>
      <c r="T122" s="139"/>
    </row>
    <row r="123" spans="2:20" ht="12.75" hidden="1">
      <c r="B123" s="150"/>
      <c r="C123" s="192">
        <f>C33</f>
        <v>0</v>
      </c>
      <c r="D123" s="192"/>
      <c r="E123" s="192"/>
      <c r="F123" s="153">
        <f>IF(F$98&gt;=$F33,IF($M33="Straight Line",(IF((($G33*$L33))&gt;$G33,($G33),($G33*$L33))),($G33*$L33)),0)*(MAX(IF(ROUNDDOWN((($E33+$F33)-F$98),0)&gt;0,1,(($E33+$F33)-F$98)),0))</f>
        <v>0</v>
      </c>
      <c r="G123" s="153">
        <f>IF(G$98&gt;=$F33,IF($M33="Straight Line",(IF((SUM($F123:F123)+($G33*$L33))&gt;$G33,($G33-SUM($F123:F123)),($G33*$L33))),(($G33-SUM($F123:F123))*$L33)),0)*(MAX(IF(ROUNDDOWN((($E33+$F33)-G$98),0)&gt;0,1,(($E33+$F33)-G$98)),0))</f>
        <v>0</v>
      </c>
      <c r="H123" s="153">
        <f>IF(H$98&gt;=$F33,IF($M33="Straight Line",(IF((SUM($F123:G123)+($G33*$L33))&gt;$G33,($G33-SUM($F123:G123)),($G33*$L33))),(($G33-SUM($F123:G123))*$L33)),0)*(MAX(IF(ROUNDDOWN((($E33+$F33)-H$98),0)&gt;0,1,(($E33+$F33)-H$98)),0))</f>
        <v>0</v>
      </c>
      <c r="I123" s="153">
        <f>IF(I$98&gt;=$F33,IF($M33="Straight Line",(IF((SUM($F123:H123)+($G33*$L33))&gt;$G33,($G33-SUM($F123:H123)),($G33*$L33))),(($G33-SUM($F123:H123))*$L33)),0)*(MAX(IF(ROUNDDOWN((($E33+$F33)-I$98),0)&gt;0,1,(($E33+$F33)-I$98)),0))</f>
        <v>0</v>
      </c>
      <c r="J123" s="153">
        <f>IF(J$98&gt;=$F33,IF($M33="Straight Line",(IF((SUM($F123:I123)+($G33*$L33))&gt;$G33,($G33-SUM($F123:I123)),($G33*$L33))),(($G33-SUM($F123:I123))*$L33)),0)*(MAX(IF(ROUNDDOWN((($E33+$F33)-J$98),0)&gt;0,1,(($E33+$F33)-J$98)),0))</f>
        <v>0</v>
      </c>
      <c r="K123" s="196">
        <f>IF(AND(($E33+$F33-6)&gt;5,($G33-SUM($F123:$J123))&gt;0),IF($M33="Straight Line",(MAX(($G33*(1-($L33*$E33)))/((1+$K$271)^($E33+$F33-6)),0)),(MAX(($G33*((1-$L33)^$E33))/((1+$K$271)^($E33+$F33-6)),0))),0)</f>
        <v>0</v>
      </c>
      <c r="L123" s="153">
        <f>IF(AND(($E33+$F33-6)&gt;5,($G33-SUM($F123:$J123))&gt;0),IF($M33="Straight Line",(-PV($K$271,(MIN($E33,1/$L33)+$F33-6),($G33*$L33))),(-PV($K$271,($E33+$F33-6),(($G33-SUM($F123:$J123))*($L33*0.67))))),0)</f>
        <v>0</v>
      </c>
      <c r="M123" s="151"/>
      <c r="N123" s="151"/>
      <c r="O123" s="178"/>
      <c r="T123" s="139"/>
    </row>
    <row r="124" spans="2:20" ht="12.75" hidden="1">
      <c r="B124" s="150"/>
      <c r="C124" s="192">
        <f>C34</f>
        <v>0</v>
      </c>
      <c r="D124" s="192"/>
      <c r="E124" s="192"/>
      <c r="F124" s="153">
        <f>IF(F$98&gt;=$F34,IF($M34="Straight Line",(IF((($G34*$L34))&gt;$G34,($G34),($G34*$L34))),($G34*$L34)),0)*(MAX(IF(ROUNDDOWN((($E34+$F34)-F$98),0)&gt;0,1,(($E34+$F34)-F$98)),0))</f>
        <v>0</v>
      </c>
      <c r="G124" s="153">
        <f>IF(G$98&gt;=$F34,IF($M34="Straight Line",(IF((SUM($F124:F124)+($G34*$L34))&gt;$G34,($G34-SUM($F124:F124)),($G34*$L34))),(($G34-SUM($F124:F124))*$L34)),0)*(MAX(IF(ROUNDDOWN((($E34+$F34)-G$98),0)&gt;0,1,(($E34+$F34)-G$98)),0))</f>
        <v>0</v>
      </c>
      <c r="H124" s="153">
        <f>IF(H$98&gt;=$F34,IF($M34="Straight Line",(IF((SUM($F124:G124)+($G34*$L34))&gt;$G34,($G34-SUM($F124:G124)),($G34*$L34))),(($G34-SUM($F124:G124))*$L34)),0)*(MAX(IF(ROUNDDOWN((($E34+$F34)-H$98),0)&gt;0,1,(($E34+$F34)-H$98)),0))</f>
        <v>0</v>
      </c>
      <c r="I124" s="153">
        <f>IF(I$98&gt;=$F34,IF($M34="Straight Line",(IF((SUM($F124:H124)+($G34*$L34))&gt;$G34,($G34-SUM($F124:H124)),($G34*$L34))),(($G34-SUM($F124:H124))*$L34)),0)*(MAX(IF(ROUNDDOWN((($E34+$F34)-I$98),0)&gt;0,1,(($E34+$F34)-I$98)),0))</f>
        <v>0</v>
      </c>
      <c r="J124" s="153">
        <f>IF(J$98&gt;=$F34,IF($M34="Straight Line",(IF((SUM($F124:I124)+($G34*$L34))&gt;$G34,($G34-SUM($F124:I124)),($G34*$L34))),(($G34-SUM($F124:I124))*$L34)),0)*(MAX(IF(ROUNDDOWN((($E34+$F34)-J$98),0)&gt;0,1,(($E34+$F34)-J$98)),0))</f>
        <v>0</v>
      </c>
      <c r="K124" s="196">
        <f>IF(AND(($E34+$F34-6)&gt;5,($G34-SUM($F124:$J124))&gt;0),IF($M34="Straight Line",(MAX(($G34*(1-($L34*$E34)))/((1+$K$271)^($E34+$F34-6)),0)),(MAX(($G34*((1-$L34)^$E34))/((1+$K$271)^($E34+$F34-6)),0))),0)</f>
        <v>0</v>
      </c>
      <c r="L124" s="153">
        <f>IF(AND(($E34+$F34-6)&gt;5,($G34-SUM($F124:$J124))&gt;0),IF($M34="Straight Line",(-PV($K$271,(MIN($E34,1/$L34)+$F34-6),($G34*$L34))),(-PV($K$271,($E34+$F34-6),(($G34-SUM($F124:$J124))*($L34*0.67))))),0)</f>
        <v>0</v>
      </c>
      <c r="M124" s="151"/>
      <c r="N124" s="151"/>
      <c r="O124" s="178"/>
      <c r="T124" s="139"/>
    </row>
    <row r="125" spans="2:20" ht="12.75" hidden="1">
      <c r="B125" s="150"/>
      <c r="C125" s="192">
        <f>C35</f>
        <v>0</v>
      </c>
      <c r="D125" s="192"/>
      <c r="E125" s="192"/>
      <c r="F125" s="153">
        <f>IF(F$98&gt;=$F35,IF($M35="Straight Line",(IF((($G35*$L35))&gt;$G35,($G35),($G35*$L35))),($G35*$L35)),0)*(MAX(IF(ROUNDDOWN((($E35+$F35)-F$98),0)&gt;0,1,(($E35+$F35)-F$98)),0))</f>
        <v>0</v>
      </c>
      <c r="G125" s="153">
        <f>IF(G$98&gt;=$F35,IF($M35="Straight Line",(IF((SUM($F125:F125)+($G35*$L35))&gt;$G35,($G35-SUM($F125:F125)),($G35*$L35))),(($G35-SUM($F125:F125))*$L35)),0)*(MAX(IF(ROUNDDOWN((($E35+$F35)-G$98),0)&gt;0,1,(($E35+$F35)-G$98)),0))</f>
        <v>0</v>
      </c>
      <c r="H125" s="153">
        <f>IF(H$98&gt;=$F35,IF($M35="Straight Line",(IF((SUM($F125:G125)+($G35*$L35))&gt;$G35,($G35-SUM($F125:G125)),($G35*$L35))),(($G35-SUM($F125:G125))*$L35)),0)*(MAX(IF(ROUNDDOWN((($E35+$F35)-H$98),0)&gt;0,1,(($E35+$F35)-H$98)),0))</f>
        <v>0</v>
      </c>
      <c r="I125" s="153">
        <f>IF(I$98&gt;=$F35,IF($M35="Straight Line",(IF((SUM($F125:H125)+($G35*$L35))&gt;$G35,($G35-SUM($F125:H125)),($G35*$L35))),(($G35-SUM($F125:H125))*$L35)),0)*(MAX(IF(ROUNDDOWN((($E35+$F35)-I$98),0)&gt;0,1,(($E35+$F35)-I$98)),0))</f>
        <v>0</v>
      </c>
      <c r="J125" s="153">
        <f>IF(J$98&gt;=$F35,IF($M35="Straight Line",(IF((SUM($F125:I125)+($G35*$L35))&gt;$G35,($G35-SUM($F125:I125)),($G35*$L35))),(($G35-SUM($F125:I125))*$L35)),0)*(MAX(IF(ROUNDDOWN((($E35+$F35)-J$98),0)&gt;0,1,(($E35+$F35)-J$98)),0))</f>
        <v>0</v>
      </c>
      <c r="K125" s="196">
        <f>IF(AND(($E35+$F35-6)&gt;5,($G35-SUM($F125:$J125))&gt;0),IF($M35="Straight Line",(MAX(($G35*(1-($L35*$E35)))/((1+$K$271)^($E35+$F35-6)),0)),(MAX(($G35*((1-$L35)^$E35))/((1+$K$271)^($E35+$F35-6)),0))),0)</f>
        <v>0</v>
      </c>
      <c r="L125" s="153">
        <f>IF(AND(($E35+$F35-6)&gt;5,($G35-SUM($F125:$J125))&gt;0),IF($M35="Straight Line",(-PV($K$271,(MIN($E35,1/$L35)+$F35-6),($G35*$L35))),(-PV($K$271,($E35+$F35-6),(($G35-SUM($F125:$J125))*($L35*0.67))))),0)</f>
        <v>0</v>
      </c>
      <c r="M125" s="151"/>
      <c r="N125" s="151"/>
      <c r="O125" s="178"/>
      <c r="T125" s="139"/>
    </row>
    <row r="126" spans="2:20" ht="12.75" hidden="1">
      <c r="B126" s="150"/>
      <c r="C126" s="192">
        <f>C36</f>
        <v>0</v>
      </c>
      <c r="D126" s="192"/>
      <c r="E126" s="192"/>
      <c r="F126" s="153">
        <f>IF(F$98&gt;=$F36,IF($M36="Straight Line",(IF((($G36*$L36))&gt;$G36,($G36),($G36*$L36))),($G36*$L36)),0)*(MAX(IF(ROUNDDOWN((($E36+$F36)-F$98),0)&gt;0,1,(($E36+$F36)-F$98)),0))</f>
        <v>0</v>
      </c>
      <c r="G126" s="153">
        <f>IF(G$98&gt;=$F36,IF($M36="Straight Line",(IF((SUM($F126:F126)+($G36*$L36))&gt;$G36,($G36-SUM($F126:F126)),($G36*$L36))),(($G36-SUM($F126:F126))*$L36)),0)*(MAX(IF(ROUNDDOWN((($E36+$F36)-G$98),0)&gt;0,1,(($E36+$F36)-G$98)),0))</f>
        <v>0</v>
      </c>
      <c r="H126" s="153">
        <f>IF(H$98&gt;=$F36,IF($M36="Straight Line",(IF((SUM($F126:G126)+($G36*$L36))&gt;$G36,($G36-SUM($F126:G126)),($G36*$L36))),(($G36-SUM($F126:G126))*$L36)),0)*(MAX(IF(ROUNDDOWN((($E36+$F36)-H$98),0)&gt;0,1,(($E36+$F36)-H$98)),0))</f>
        <v>0</v>
      </c>
      <c r="I126" s="153">
        <f>IF(I$98&gt;=$F36,IF($M36="Straight Line",(IF((SUM($F126:H126)+($G36*$L36))&gt;$G36,($G36-SUM($F126:H126)),($G36*$L36))),(($G36-SUM($F126:H126))*$L36)),0)*(MAX(IF(ROUNDDOWN((($E36+$F36)-I$98),0)&gt;0,1,(($E36+$F36)-I$98)),0))</f>
        <v>0</v>
      </c>
      <c r="J126" s="153">
        <f>IF(J$98&gt;=$F36,IF($M36="Straight Line",(IF((SUM($F126:I126)+($G36*$L36))&gt;$G36,($G36-SUM($F126:I126)),($G36*$L36))),(($G36-SUM($F126:I126))*$L36)),0)*(MAX(IF(ROUNDDOWN((($E36+$F36)-J$98),0)&gt;0,1,(($E36+$F36)-J$98)),0))</f>
        <v>0</v>
      </c>
      <c r="K126" s="196">
        <f>IF(AND(($E36+$F36-6)&gt;5,($G36-SUM($F126:$J126))&gt;0),IF($M36="Straight Line",(MAX(($G36*(1-($L36*$E36)))/((1+$K$271)^($E36+$F36-6)),0)),(MAX(($G36*((1-$L36)^$E36))/((1+$K$271)^($E36+$F36-6)),0))),0)</f>
        <v>0</v>
      </c>
      <c r="L126" s="153">
        <f>IF(AND(($E36+$F36-6)&gt;5,($G36-SUM($F126:$J126))&gt;0),IF($M36="Straight Line",(-PV($K$271,(MIN($E36,1/$L36)+$F36-6),($G36*$L36))),(-PV($K$271,($E36+$F36-6),(($G36-SUM($F126:$J126))*($L36*0.67))))),0)</f>
        <v>0</v>
      </c>
      <c r="M126" s="151"/>
      <c r="N126" s="151"/>
      <c r="O126" s="178"/>
      <c r="T126" s="139"/>
    </row>
    <row r="127" spans="2:20" ht="12.75" hidden="1">
      <c r="B127" s="150"/>
      <c r="C127" s="192">
        <f>C37</f>
        <v>0</v>
      </c>
      <c r="D127" s="192"/>
      <c r="E127" s="192"/>
      <c r="F127" s="153">
        <f>IF(F$98&gt;=$F37,IF($M37="Straight Line",(IF((($G37*$L37))&gt;$G37,($G37),($G37*$L37))),($G37*$L37)),0)*(MAX(IF(ROUNDDOWN((($E37+$F37)-F$98),0)&gt;0,1,(($E37+$F37)-F$98)),0))</f>
        <v>0</v>
      </c>
      <c r="G127" s="153">
        <f>IF(G$98&gt;=$F37,IF($M37="Straight Line",(IF((SUM($F127:F127)+($G37*$L37))&gt;$G37,($G37-SUM($F127:F127)),($G37*$L37))),(($G37-SUM($F127:F127))*$L37)),0)*(MAX(IF(ROUNDDOWN((($E37+$F37)-G$98),0)&gt;0,1,(($E37+$F37)-G$98)),0))</f>
        <v>0</v>
      </c>
      <c r="H127" s="153">
        <f>IF(H$98&gt;=$F37,IF($M37="Straight Line",(IF((SUM($F127:G127)+($G37*$L37))&gt;$G37,($G37-SUM($F127:G127)),($G37*$L37))),(($G37-SUM($F127:G127))*$L37)),0)*(MAX(IF(ROUNDDOWN((($E37+$F37)-H$98),0)&gt;0,1,(($E37+$F37)-H$98)),0))</f>
        <v>0</v>
      </c>
      <c r="I127" s="153">
        <f>IF(I$98&gt;=$F37,IF($M37="Straight Line",(IF((SUM($F127:H127)+($G37*$L37))&gt;$G37,($G37-SUM($F127:H127)),($G37*$L37))),(($G37-SUM($F127:H127))*$L37)),0)*(MAX(IF(ROUNDDOWN((($E37+$F37)-I$98),0)&gt;0,1,(($E37+$F37)-I$98)),0))</f>
        <v>0</v>
      </c>
      <c r="J127" s="153">
        <f>IF(J$98&gt;=$F37,IF($M37="Straight Line",(IF((SUM($F127:I127)+($G37*$L37))&gt;$G37,($G37-SUM($F127:I127)),($G37*$L37))),(($G37-SUM($F127:I127))*$L37)),0)*(MAX(IF(ROUNDDOWN((($E37+$F37)-J$98),0)&gt;0,1,(($E37+$F37)-J$98)),0))</f>
        <v>0</v>
      </c>
      <c r="K127" s="196">
        <f>IF(AND(($E37+$F37-6)&gt;5,($G37-SUM($F127:$J127))&gt;0),IF($M37="Straight Line",(MAX(($G37*(1-($L37*$E37)))/((1+$K$271)^($E37+$F37-6)),0)),(MAX(($G37*((1-$L37)^$E37))/((1+$K$271)^($E37+$F37-6)),0))),0)</f>
        <v>0</v>
      </c>
      <c r="L127" s="153">
        <f>IF(AND(($E37+$F37-6)&gt;5,($G37-SUM($F127:$J127))&gt;0),IF($M37="Straight Line",(-PV($K$271,(MIN($E37,1/$L37)+$F37-6),($G37*$L37))),(-PV($K$271,($E37+$F37-6),(($G37-SUM($F127:$J127))*($L37*0.67))))),0)</f>
        <v>0</v>
      </c>
      <c r="M127" s="151"/>
      <c r="N127" s="151"/>
      <c r="O127" s="178"/>
      <c r="T127" s="139"/>
    </row>
    <row r="128" spans="2:20" ht="12.75" hidden="1">
      <c r="B128" s="150"/>
      <c r="C128" s="192"/>
      <c r="D128" s="192"/>
      <c r="E128" s="192"/>
      <c r="F128" s="198">
        <f aca="true" t="shared" si="38" ref="F128:L128">SUM(F123:F127)</f>
        <v>0</v>
      </c>
      <c r="G128" s="198">
        <f t="shared" si="38"/>
        <v>0</v>
      </c>
      <c r="H128" s="198">
        <f t="shared" si="38"/>
        <v>0</v>
      </c>
      <c r="I128" s="198">
        <f t="shared" si="38"/>
        <v>0</v>
      </c>
      <c r="J128" s="198">
        <f t="shared" si="38"/>
        <v>0</v>
      </c>
      <c r="K128" s="199">
        <f t="shared" si="38"/>
        <v>0</v>
      </c>
      <c r="L128" s="198">
        <f t="shared" si="38"/>
        <v>0</v>
      </c>
      <c r="M128" s="151"/>
      <c r="N128" s="151"/>
      <c r="O128" s="178"/>
      <c r="T128" s="139"/>
    </row>
    <row r="129" spans="2:20" ht="4.5" customHeight="1" hidden="1">
      <c r="B129" s="150"/>
      <c r="C129" s="192"/>
      <c r="D129" s="192"/>
      <c r="E129" s="192"/>
      <c r="F129" s="153"/>
      <c r="G129" s="153"/>
      <c r="H129" s="153"/>
      <c r="I129" s="153"/>
      <c r="J129" s="153"/>
      <c r="K129" s="153"/>
      <c r="L129" s="153"/>
      <c r="M129" s="151"/>
      <c r="N129" s="151"/>
      <c r="O129" s="178"/>
      <c r="T129" s="139"/>
    </row>
    <row r="130" spans="2:20" ht="12" customHeight="1" hidden="1" thickBot="1">
      <c r="B130" s="150"/>
      <c r="C130" s="202" t="s">
        <v>121</v>
      </c>
      <c r="D130" s="192"/>
      <c r="E130" s="192"/>
      <c r="F130" s="203">
        <f aca="true" t="shared" si="39" ref="F130:L130">F121+F128</f>
        <v>0</v>
      </c>
      <c r="G130" s="203">
        <f t="shared" si="39"/>
        <v>0</v>
      </c>
      <c r="H130" s="203">
        <f t="shared" si="39"/>
        <v>0</v>
      </c>
      <c r="I130" s="203">
        <f t="shared" si="39"/>
        <v>0</v>
      </c>
      <c r="J130" s="203">
        <f t="shared" si="39"/>
        <v>0</v>
      </c>
      <c r="K130" s="204">
        <f t="shared" si="39"/>
        <v>0</v>
      </c>
      <c r="L130" s="203">
        <f t="shared" si="39"/>
        <v>0</v>
      </c>
      <c r="M130" s="151"/>
      <c r="N130" s="151"/>
      <c r="O130" s="178"/>
      <c r="T130" s="139"/>
    </row>
    <row r="131" spans="2:20" ht="6" customHeight="1" hidden="1">
      <c r="B131" s="206"/>
      <c r="C131" s="207"/>
      <c r="D131" s="207"/>
      <c r="E131" s="207"/>
      <c r="F131" s="184"/>
      <c r="G131" s="184"/>
      <c r="H131" s="184"/>
      <c r="I131" s="184"/>
      <c r="J131" s="184"/>
      <c r="K131" s="184"/>
      <c r="L131" s="184"/>
      <c r="M131" s="183"/>
      <c r="N131" s="183"/>
      <c r="O131" s="185"/>
      <c r="T131" s="139"/>
    </row>
    <row r="132" spans="2:20" ht="6" customHeight="1" hidden="1">
      <c r="B132" s="143"/>
      <c r="C132" s="208"/>
      <c r="D132" s="208"/>
      <c r="E132" s="208"/>
      <c r="F132" s="153"/>
      <c r="G132" s="153"/>
      <c r="H132" s="153"/>
      <c r="I132" s="153"/>
      <c r="J132" s="153"/>
      <c r="K132" s="153"/>
      <c r="L132" s="153"/>
      <c r="M132" s="143"/>
      <c r="N132" s="143"/>
      <c r="O132" s="143"/>
      <c r="T132" s="139"/>
    </row>
    <row r="133" spans="2:20" ht="16.5" customHeight="1" collapsed="1">
      <c r="B133" s="189"/>
      <c r="C133" s="146" t="s">
        <v>75</v>
      </c>
      <c r="D133" s="191"/>
      <c r="E133" s="191"/>
      <c r="F133" s="190"/>
      <c r="G133" s="190"/>
      <c r="H133" s="190"/>
      <c r="I133" s="190"/>
      <c r="J133" s="190"/>
      <c r="K133" s="190"/>
      <c r="L133" s="190"/>
      <c r="M133" s="147"/>
      <c r="N133" s="147"/>
      <c r="O133" s="176"/>
      <c r="T133" s="139" t="b">
        <v>0</v>
      </c>
    </row>
    <row r="134" spans="2:20" ht="12.75" hidden="1">
      <c r="B134" s="150"/>
      <c r="C134" s="192" t="s">
        <v>123</v>
      </c>
      <c r="D134" s="192"/>
      <c r="E134" s="192"/>
      <c r="F134" s="164">
        <f>F5</f>
        <v>2011</v>
      </c>
      <c r="G134" s="164">
        <f>G5</f>
        <v>2012</v>
      </c>
      <c r="H134" s="164">
        <f>H5</f>
        <v>2013</v>
      </c>
      <c r="I134" s="164">
        <f>I5</f>
        <v>2014</v>
      </c>
      <c r="J134" s="164">
        <f>J5</f>
        <v>2015</v>
      </c>
      <c r="K134" s="209" t="s">
        <v>45</v>
      </c>
      <c r="L134" s="151"/>
      <c r="M134" s="151"/>
      <c r="N134" s="151"/>
      <c r="O134" s="178"/>
      <c r="T134" s="139"/>
    </row>
    <row r="135" spans="2:20" ht="12.75" hidden="1">
      <c r="B135" s="150"/>
      <c r="C135" s="192">
        <f>C25</f>
        <v>0</v>
      </c>
      <c r="D135" s="192"/>
      <c r="E135" s="192"/>
      <c r="F135" s="153">
        <f aca="true" t="shared" si="40" ref="F135:J139">IF(ROUNDDOWN(($E25-$F25+1),0)=F$98,IF($J25="Straight Line",(($H25/(1-($F25*$I25)))*$G25),(($H25/(1-$I25)^$F25)*$G25)),0)</f>
        <v>0</v>
      </c>
      <c r="G135" s="153">
        <f t="shared" si="40"/>
        <v>0</v>
      </c>
      <c r="H135" s="153">
        <f t="shared" si="40"/>
        <v>0</v>
      </c>
      <c r="I135" s="153">
        <f t="shared" si="40"/>
        <v>0</v>
      </c>
      <c r="J135" s="153">
        <f t="shared" si="40"/>
        <v>0</v>
      </c>
      <c r="K135" s="196">
        <f>IF(ROUNDDOWN(($E25-$F25+1),0)&gt;5,IF($J25="Straight Line",((($H25/(1-($F25*$I25)))*$G25)/(1+K271)^($E25-$F25-4)),((($H25/(1-$I25)^$F25)*$G25)/(1+K271)^($E25-$F25-4))),0)</f>
        <v>0</v>
      </c>
      <c r="L135" s="151"/>
      <c r="M135" s="151"/>
      <c r="N135" s="151"/>
      <c r="O135" s="178"/>
      <c r="T135" s="139"/>
    </row>
    <row r="136" spans="2:20" ht="12.75" hidden="1">
      <c r="B136" s="150"/>
      <c r="C136" s="192">
        <f>C26</f>
        <v>0</v>
      </c>
      <c r="D136" s="192"/>
      <c r="E136" s="192"/>
      <c r="F136" s="153">
        <f t="shared" si="40"/>
        <v>0</v>
      </c>
      <c r="G136" s="153">
        <f t="shared" si="40"/>
        <v>0</v>
      </c>
      <c r="H136" s="153">
        <f t="shared" si="40"/>
        <v>0</v>
      </c>
      <c r="I136" s="153">
        <f t="shared" si="40"/>
        <v>0</v>
      </c>
      <c r="J136" s="153">
        <f t="shared" si="40"/>
        <v>0</v>
      </c>
      <c r="K136" s="196">
        <f>IF(ROUNDDOWN(($E26-$F26+1),0)&gt;5,IF($J26="Straight Line",((($H26/(1-($F26*$I26)))*$G26)/(1+K271)^($E26-$F26-4)),((($H26/(1-$I26)^$F26)*$G26)/(1+K271)^($E26-$F26-4))),0)</f>
        <v>0</v>
      </c>
      <c r="L136" s="151"/>
      <c r="M136" s="151"/>
      <c r="N136" s="151"/>
      <c r="O136" s="178"/>
      <c r="T136" s="139"/>
    </row>
    <row r="137" spans="2:20" ht="12.75" hidden="1">
      <c r="B137" s="150"/>
      <c r="C137" s="192">
        <f>C27</f>
        <v>0</v>
      </c>
      <c r="D137" s="192"/>
      <c r="E137" s="192"/>
      <c r="F137" s="153">
        <f t="shared" si="40"/>
        <v>0</v>
      </c>
      <c r="G137" s="153">
        <f t="shared" si="40"/>
        <v>0</v>
      </c>
      <c r="H137" s="153">
        <f t="shared" si="40"/>
        <v>0</v>
      </c>
      <c r="I137" s="153">
        <f t="shared" si="40"/>
        <v>0</v>
      </c>
      <c r="J137" s="153">
        <f t="shared" si="40"/>
        <v>0</v>
      </c>
      <c r="K137" s="196">
        <f>IF(ROUNDDOWN(($E27-$F27+1),0)&gt;5,IF($J27="Straight Line",((($H27/(1-($F27*$I27)))*$G27)/(1+K271)^($E27-$F27-4)),((($H27/(1-$I27)^$F27)*$G27)/(1+K271)^($E27-$F27-4))),0)</f>
        <v>0</v>
      </c>
      <c r="L137" s="151"/>
      <c r="M137" s="151"/>
      <c r="N137" s="151"/>
      <c r="O137" s="178"/>
      <c r="T137" s="139"/>
    </row>
    <row r="138" spans="2:20" ht="12.75" hidden="1">
      <c r="B138" s="150"/>
      <c r="C138" s="192">
        <f>C28</f>
        <v>0</v>
      </c>
      <c r="D138" s="192"/>
      <c r="E138" s="192"/>
      <c r="F138" s="153">
        <f t="shared" si="40"/>
        <v>0</v>
      </c>
      <c r="G138" s="153">
        <f t="shared" si="40"/>
        <v>0</v>
      </c>
      <c r="H138" s="153">
        <f t="shared" si="40"/>
        <v>0</v>
      </c>
      <c r="I138" s="153">
        <f t="shared" si="40"/>
        <v>0</v>
      </c>
      <c r="J138" s="153">
        <f t="shared" si="40"/>
        <v>0</v>
      </c>
      <c r="K138" s="196">
        <f>IF(ROUNDDOWN(($E28-$F28+1),0)&gt;5,IF($J28="Straight Line",((($H28/(1-($F28*$I28)))*$G28)/(1+K271)^($E28-$F28-4)),((($H28/(1-$I28)^$F28)*$G28)/(1+K271)^($E28-$F28-4))),0)</f>
        <v>0</v>
      </c>
      <c r="L138" s="151"/>
      <c r="M138" s="151"/>
      <c r="N138" s="151"/>
      <c r="O138" s="178"/>
      <c r="T138" s="139"/>
    </row>
    <row r="139" spans="2:20" ht="12.75" hidden="1">
      <c r="B139" s="150"/>
      <c r="C139" s="192">
        <f>C29</f>
        <v>0</v>
      </c>
      <c r="D139" s="192"/>
      <c r="E139" s="192"/>
      <c r="F139" s="153">
        <f t="shared" si="40"/>
        <v>0</v>
      </c>
      <c r="G139" s="153">
        <f t="shared" si="40"/>
        <v>0</v>
      </c>
      <c r="H139" s="153">
        <f t="shared" si="40"/>
        <v>0</v>
      </c>
      <c r="I139" s="153">
        <f t="shared" si="40"/>
        <v>0</v>
      </c>
      <c r="J139" s="153">
        <f t="shared" si="40"/>
        <v>0</v>
      </c>
      <c r="K139" s="196">
        <f>IF(ROUNDDOWN(($E29-$F29+1),0)&gt;5,IF($J29="Straight Line",((($H29/(1-($F29*$I29)))*$G29)/(1+K271)^($E29-$F29-4)),((($H29/(1-$I29)^$F29)*$G29)/(1+K271)^($E29-$F29-4))),0)</f>
        <v>0</v>
      </c>
      <c r="L139" s="151"/>
      <c r="M139" s="151"/>
      <c r="N139" s="151"/>
      <c r="O139" s="178"/>
      <c r="T139" s="139"/>
    </row>
    <row r="140" spans="2:20" ht="12.75" hidden="1">
      <c r="B140" s="150"/>
      <c r="C140" s="192"/>
      <c r="D140" s="192"/>
      <c r="E140" s="192"/>
      <c r="F140" s="198">
        <f aca="true" t="shared" si="41" ref="F140:K140">SUM(F135:F139)</f>
        <v>0</v>
      </c>
      <c r="G140" s="198">
        <f t="shared" si="41"/>
        <v>0</v>
      </c>
      <c r="H140" s="198">
        <f t="shared" si="41"/>
        <v>0</v>
      </c>
      <c r="I140" s="198">
        <f t="shared" si="41"/>
        <v>0</v>
      </c>
      <c r="J140" s="198">
        <f t="shared" si="41"/>
        <v>0</v>
      </c>
      <c r="K140" s="199">
        <f t="shared" si="41"/>
        <v>0</v>
      </c>
      <c r="L140" s="151"/>
      <c r="M140" s="151"/>
      <c r="N140" s="151"/>
      <c r="O140" s="178"/>
      <c r="T140" s="139"/>
    </row>
    <row r="141" spans="2:20" ht="12.75" hidden="1">
      <c r="B141" s="150"/>
      <c r="C141" s="192" t="s">
        <v>124</v>
      </c>
      <c r="D141" s="192"/>
      <c r="E141" s="192"/>
      <c r="F141" s="153"/>
      <c r="G141" s="153"/>
      <c r="H141" s="153"/>
      <c r="I141" s="153"/>
      <c r="J141" s="153"/>
      <c r="K141" s="151"/>
      <c r="L141" s="151"/>
      <c r="M141" s="151"/>
      <c r="N141" s="151"/>
      <c r="O141" s="178"/>
      <c r="T141" s="139"/>
    </row>
    <row r="142" spans="2:20" ht="12.75" hidden="1">
      <c r="B142" s="150"/>
      <c r="C142" s="192">
        <f>C33</f>
        <v>0</v>
      </c>
      <c r="D142" s="192"/>
      <c r="E142" s="192"/>
      <c r="F142" s="153">
        <f aca="true" t="shared" si="42" ref="F142:J146">IF(ROUNDDOWN(($F33+$E33-1),0)=F$98,($I33*$G33),0)</f>
        <v>0</v>
      </c>
      <c r="G142" s="153">
        <f t="shared" si="42"/>
        <v>0</v>
      </c>
      <c r="H142" s="153">
        <f t="shared" si="42"/>
        <v>0</v>
      </c>
      <c r="I142" s="153">
        <f t="shared" si="42"/>
        <v>0</v>
      </c>
      <c r="J142" s="153">
        <f t="shared" si="42"/>
        <v>0</v>
      </c>
      <c r="K142" s="196">
        <f>IF(ROUNDDOWN(($F33+$E33-1),0)&gt;5,(($I33*$G33/(1+K271)^($F33+$E33-6))),0)</f>
        <v>0</v>
      </c>
      <c r="L142" s="151"/>
      <c r="M142" s="151"/>
      <c r="N142" s="151"/>
      <c r="O142" s="178"/>
      <c r="T142" s="139"/>
    </row>
    <row r="143" spans="2:20" ht="12.75" hidden="1">
      <c r="B143" s="150"/>
      <c r="C143" s="192">
        <f>C34</f>
        <v>0</v>
      </c>
      <c r="D143" s="192"/>
      <c r="E143" s="192"/>
      <c r="F143" s="153">
        <f t="shared" si="42"/>
        <v>0</v>
      </c>
      <c r="G143" s="153">
        <f t="shared" si="42"/>
        <v>0</v>
      </c>
      <c r="H143" s="153">
        <f t="shared" si="42"/>
        <v>0</v>
      </c>
      <c r="I143" s="153">
        <f t="shared" si="42"/>
        <v>0</v>
      </c>
      <c r="J143" s="153">
        <f t="shared" si="42"/>
        <v>0</v>
      </c>
      <c r="K143" s="196">
        <f>IF(ROUNDDOWN(($F34+$E34-1),0)&gt;5,(($I34*$G34/(1+K272)^($F34+$E34-6))),0)</f>
        <v>0</v>
      </c>
      <c r="L143" s="151"/>
      <c r="M143" s="151"/>
      <c r="N143" s="151"/>
      <c r="O143" s="178"/>
      <c r="T143" s="139"/>
    </row>
    <row r="144" spans="2:20" ht="12.75" hidden="1">
      <c r="B144" s="150"/>
      <c r="C144" s="192">
        <f>C35</f>
        <v>0</v>
      </c>
      <c r="D144" s="192"/>
      <c r="E144" s="192"/>
      <c r="F144" s="153">
        <f t="shared" si="42"/>
        <v>0</v>
      </c>
      <c r="G144" s="153">
        <f t="shared" si="42"/>
        <v>0</v>
      </c>
      <c r="H144" s="153">
        <f t="shared" si="42"/>
        <v>0</v>
      </c>
      <c r="I144" s="153">
        <f t="shared" si="42"/>
        <v>0</v>
      </c>
      <c r="J144" s="153">
        <f t="shared" si="42"/>
        <v>0</v>
      </c>
      <c r="K144" s="196">
        <f>IF(ROUNDDOWN(($F35+$E35-1),0)&gt;5,(($I35*$G35/(1+K273)^($F35+$E35-6))),0)</f>
        <v>0</v>
      </c>
      <c r="L144" s="151"/>
      <c r="M144" s="151"/>
      <c r="N144" s="151"/>
      <c r="O144" s="178"/>
      <c r="T144" s="139"/>
    </row>
    <row r="145" spans="2:20" ht="12.75" hidden="1">
      <c r="B145" s="150"/>
      <c r="C145" s="192">
        <f>C36</f>
        <v>0</v>
      </c>
      <c r="D145" s="192"/>
      <c r="E145" s="192"/>
      <c r="F145" s="153">
        <f t="shared" si="42"/>
        <v>0</v>
      </c>
      <c r="G145" s="153">
        <f t="shared" si="42"/>
        <v>0</v>
      </c>
      <c r="H145" s="153">
        <f t="shared" si="42"/>
        <v>0</v>
      </c>
      <c r="I145" s="153">
        <f t="shared" si="42"/>
        <v>0</v>
      </c>
      <c r="J145" s="153">
        <f t="shared" si="42"/>
        <v>0</v>
      </c>
      <c r="K145" s="196">
        <f>IF(ROUNDDOWN(($F36+$E36-1),0)&gt;5,(($I36*$G36/(1+K274)^($F36+$E36-6))),0)</f>
        <v>0</v>
      </c>
      <c r="L145" s="151"/>
      <c r="M145" s="151"/>
      <c r="N145" s="151"/>
      <c r="O145" s="178"/>
      <c r="T145" s="139"/>
    </row>
    <row r="146" spans="2:20" ht="12.75" hidden="1">
      <c r="B146" s="150"/>
      <c r="C146" s="192">
        <f>C37</f>
        <v>0</v>
      </c>
      <c r="D146" s="192"/>
      <c r="E146" s="192"/>
      <c r="F146" s="153">
        <f t="shared" si="42"/>
        <v>0</v>
      </c>
      <c r="G146" s="153">
        <f t="shared" si="42"/>
        <v>0</v>
      </c>
      <c r="H146" s="153">
        <f t="shared" si="42"/>
        <v>0</v>
      </c>
      <c r="I146" s="153">
        <f t="shared" si="42"/>
        <v>0</v>
      </c>
      <c r="J146" s="153">
        <f t="shared" si="42"/>
        <v>0</v>
      </c>
      <c r="K146" s="196">
        <f>IF(ROUNDDOWN(($F37+$E37-1),0)&gt;5,(($I37*$G37/(1+K275)^($F37+$E37-6))),0)</f>
        <v>0</v>
      </c>
      <c r="L146" s="151"/>
      <c r="M146" s="151"/>
      <c r="N146" s="151"/>
      <c r="O146" s="178"/>
      <c r="T146" s="139"/>
    </row>
    <row r="147" spans="2:20" ht="12.75" hidden="1">
      <c r="B147" s="150"/>
      <c r="C147" s="192"/>
      <c r="D147" s="192"/>
      <c r="E147" s="192"/>
      <c r="F147" s="198">
        <f aca="true" t="shared" si="43" ref="F147:K147">SUM(F142:F146)</f>
        <v>0</v>
      </c>
      <c r="G147" s="198">
        <f t="shared" si="43"/>
        <v>0</v>
      </c>
      <c r="H147" s="198">
        <f t="shared" si="43"/>
        <v>0</v>
      </c>
      <c r="I147" s="198">
        <f t="shared" si="43"/>
        <v>0</v>
      </c>
      <c r="J147" s="198">
        <f t="shared" si="43"/>
        <v>0</v>
      </c>
      <c r="K147" s="199">
        <f t="shared" si="43"/>
        <v>0</v>
      </c>
      <c r="L147" s="151"/>
      <c r="M147" s="151"/>
      <c r="N147" s="151"/>
      <c r="O147" s="178"/>
      <c r="T147" s="139"/>
    </row>
    <row r="148" spans="2:20" ht="4.5" customHeight="1" hidden="1">
      <c r="B148" s="150"/>
      <c r="C148" s="192"/>
      <c r="D148" s="192"/>
      <c r="E148" s="192"/>
      <c r="F148" s="153"/>
      <c r="G148" s="153"/>
      <c r="H148" s="153"/>
      <c r="I148" s="153"/>
      <c r="J148" s="153"/>
      <c r="K148" s="153"/>
      <c r="L148" s="151"/>
      <c r="M148" s="151"/>
      <c r="N148" s="151"/>
      <c r="O148" s="178"/>
      <c r="T148" s="139"/>
    </row>
    <row r="149" spans="2:20" ht="13.5" hidden="1" thickBot="1">
      <c r="B149" s="150"/>
      <c r="C149" s="202" t="s">
        <v>122</v>
      </c>
      <c r="D149" s="192"/>
      <c r="E149" s="192"/>
      <c r="F149" s="203">
        <f aca="true" t="shared" si="44" ref="F149:K149">F140+F147</f>
        <v>0</v>
      </c>
      <c r="G149" s="203">
        <f t="shared" si="44"/>
        <v>0</v>
      </c>
      <c r="H149" s="203">
        <f t="shared" si="44"/>
        <v>0</v>
      </c>
      <c r="I149" s="203">
        <f t="shared" si="44"/>
        <v>0</v>
      </c>
      <c r="J149" s="203">
        <f t="shared" si="44"/>
        <v>0</v>
      </c>
      <c r="K149" s="204">
        <f t="shared" si="44"/>
        <v>0</v>
      </c>
      <c r="L149" s="151"/>
      <c r="M149" s="151"/>
      <c r="N149" s="151"/>
      <c r="O149" s="178"/>
      <c r="T149" s="139"/>
    </row>
    <row r="150" spans="2:20" ht="5.25" customHeight="1" hidden="1">
      <c r="B150" s="150"/>
      <c r="C150" s="192"/>
      <c r="D150" s="192"/>
      <c r="E150" s="192"/>
      <c r="F150" s="192"/>
      <c r="G150" s="192"/>
      <c r="H150" s="192"/>
      <c r="I150" s="192"/>
      <c r="J150" s="192"/>
      <c r="K150" s="192"/>
      <c r="L150" s="192"/>
      <c r="M150" s="151"/>
      <c r="N150" s="151"/>
      <c r="O150" s="178"/>
      <c r="T150" s="139"/>
    </row>
    <row r="151" spans="2:20" ht="12.75" hidden="1">
      <c r="B151" s="150"/>
      <c r="C151" s="192" t="s">
        <v>76</v>
      </c>
      <c r="D151" s="192"/>
      <c r="E151" s="192"/>
      <c r="F151" s="192"/>
      <c r="G151" s="192"/>
      <c r="H151" s="192"/>
      <c r="I151" s="192"/>
      <c r="J151" s="192"/>
      <c r="K151" s="209" t="s">
        <v>45</v>
      </c>
      <c r="L151" s="194"/>
      <c r="M151" s="151"/>
      <c r="N151" s="151"/>
      <c r="O151" s="178"/>
      <c r="T151" s="139"/>
    </row>
    <row r="152" spans="2:20" ht="12.75" hidden="1">
      <c r="B152" s="150"/>
      <c r="C152" s="192">
        <f>C25</f>
        <v>0</v>
      </c>
      <c r="D152" s="192"/>
      <c r="E152" s="192"/>
      <c r="F152" s="153">
        <f>IF(F135&lt;&gt;0,(F135-($K25-SUM($F116:F116))),0)</f>
        <v>0</v>
      </c>
      <c r="G152" s="153">
        <f>IF(G135&lt;&gt;0,(G135-($K25-SUM($F116:G116))),0)</f>
        <v>0</v>
      </c>
      <c r="H152" s="153">
        <f>IF(H135&lt;&gt;0,(H135-($K25-SUM($F116:H116))),0)</f>
        <v>0</v>
      </c>
      <c r="I152" s="153">
        <f>IF(I135&lt;&gt;0,(I135-($K25-SUM($F116:I116))),0)</f>
        <v>0</v>
      </c>
      <c r="J152" s="153">
        <f>IF(J135&lt;&gt;0,(J135-($K25-SUM($F116:J116))),0)</f>
        <v>0</v>
      </c>
      <c r="K152" s="196">
        <f>K135-K116</f>
        <v>0</v>
      </c>
      <c r="L152" s="153"/>
      <c r="M152" s="151"/>
      <c r="N152" s="151"/>
      <c r="O152" s="178"/>
      <c r="T152" s="139"/>
    </row>
    <row r="153" spans="2:20" ht="12.75" hidden="1">
      <c r="B153" s="150"/>
      <c r="C153" s="192">
        <f>C26</f>
        <v>0</v>
      </c>
      <c r="D153" s="192"/>
      <c r="E153" s="192"/>
      <c r="F153" s="153">
        <f>IF(F136&lt;&gt;0,(F136-($K26-SUM($F117:F117))),0)</f>
        <v>0</v>
      </c>
      <c r="G153" s="153">
        <f>IF(G136&lt;&gt;0,(G136-($K26-SUM($F117:G117))),0)</f>
        <v>0</v>
      </c>
      <c r="H153" s="153">
        <f>IF(H136&lt;&gt;0,(H136-($K26-SUM($F117:H117))),0)</f>
        <v>0</v>
      </c>
      <c r="I153" s="153">
        <f>IF(I136&lt;&gt;0,(I136-($K26-SUM($F117:I117))),0)</f>
        <v>0</v>
      </c>
      <c r="J153" s="153">
        <f>IF(J136&lt;&gt;0,(J136-($K26-SUM($F117:J117))),0)</f>
        <v>0</v>
      </c>
      <c r="K153" s="196">
        <f>K136-K117</f>
        <v>0</v>
      </c>
      <c r="L153" s="153"/>
      <c r="M153" s="151"/>
      <c r="N153" s="151"/>
      <c r="O153" s="178"/>
      <c r="T153" s="139"/>
    </row>
    <row r="154" spans="2:20" ht="12.75" hidden="1">
      <c r="B154" s="150"/>
      <c r="C154" s="192">
        <f>C27</f>
        <v>0</v>
      </c>
      <c r="D154" s="192"/>
      <c r="E154" s="192"/>
      <c r="F154" s="153">
        <f>IF(F137&lt;&gt;0,(F137-($K27-SUM($F118:F118))),0)</f>
        <v>0</v>
      </c>
      <c r="G154" s="153">
        <f>IF(G137&lt;&gt;0,(G137-($K27-SUM($F118:G118))),0)</f>
        <v>0</v>
      </c>
      <c r="H154" s="153">
        <f>IF(H137&lt;&gt;0,(H137-($K27-SUM($F118:H118))),0)</f>
        <v>0</v>
      </c>
      <c r="I154" s="153">
        <f>IF(I137&lt;&gt;0,(I137-($K27-SUM($F118:I118))),0)</f>
        <v>0</v>
      </c>
      <c r="J154" s="153">
        <f>IF(J137&lt;&gt;0,(J137-($K27-SUM($F118:J118))),0)</f>
        <v>0</v>
      </c>
      <c r="K154" s="196">
        <f>K137-K118</f>
        <v>0</v>
      </c>
      <c r="L154" s="153"/>
      <c r="M154" s="151"/>
      <c r="N154" s="151"/>
      <c r="O154" s="178"/>
      <c r="T154" s="139"/>
    </row>
    <row r="155" spans="2:20" ht="12.75" hidden="1">
      <c r="B155" s="150"/>
      <c r="C155" s="192">
        <f>C28</f>
        <v>0</v>
      </c>
      <c r="D155" s="192"/>
      <c r="E155" s="192"/>
      <c r="F155" s="153">
        <f>IF(F138&lt;&gt;0,(F138-($K28-SUM($F119:F119))),0)</f>
        <v>0</v>
      </c>
      <c r="G155" s="153">
        <f>IF(G138&lt;&gt;0,(G138-($K28-SUM($F119:G119))),0)</f>
        <v>0</v>
      </c>
      <c r="H155" s="153">
        <f>IF(H138&lt;&gt;0,(H138-($K28-SUM($F119:H119))),0)</f>
        <v>0</v>
      </c>
      <c r="I155" s="153">
        <f>IF(I138&lt;&gt;0,(I138-($K28-SUM($F119:I119))),0)</f>
        <v>0</v>
      </c>
      <c r="J155" s="153">
        <f>IF(J138&lt;&gt;0,(J138-($K28-SUM($F119:J119))),0)</f>
        <v>0</v>
      </c>
      <c r="K155" s="196">
        <f>K138-K119</f>
        <v>0</v>
      </c>
      <c r="L155" s="153"/>
      <c r="M155" s="151"/>
      <c r="N155" s="151"/>
      <c r="O155" s="178"/>
      <c r="T155" s="139"/>
    </row>
    <row r="156" spans="2:20" ht="12.75" hidden="1">
      <c r="B156" s="150"/>
      <c r="C156" s="192">
        <f>C29</f>
        <v>0</v>
      </c>
      <c r="D156" s="192"/>
      <c r="E156" s="192"/>
      <c r="F156" s="153">
        <f>IF(F139&lt;&gt;0,(F139-($K29-SUM($F120:F120))),0)</f>
        <v>0</v>
      </c>
      <c r="G156" s="153">
        <f>IF(G139&lt;&gt;0,(G139-($K29-SUM($F120:G120))),0)</f>
        <v>0</v>
      </c>
      <c r="H156" s="153">
        <f>IF(H139&lt;&gt;0,(H139-($K29-SUM($F120:H120))),0)</f>
        <v>0</v>
      </c>
      <c r="I156" s="153">
        <f>IF(I139&lt;&gt;0,(I139-($K29-SUM($F120:I120))),0)</f>
        <v>0</v>
      </c>
      <c r="J156" s="153">
        <f>IF(J139&lt;&gt;0,(J139-($K29-SUM($F120:J120))),0)</f>
        <v>0</v>
      </c>
      <c r="K156" s="196">
        <f>K139-K120</f>
        <v>0</v>
      </c>
      <c r="L156" s="153"/>
      <c r="M156" s="151"/>
      <c r="N156" s="151"/>
      <c r="O156" s="178"/>
      <c r="T156" s="139"/>
    </row>
    <row r="157" spans="2:20" ht="12.75" hidden="1">
      <c r="B157" s="150"/>
      <c r="C157" s="192"/>
      <c r="D157" s="192"/>
      <c r="E157" s="192"/>
      <c r="F157" s="198">
        <f aca="true" t="shared" si="45" ref="F157:K157">SUM(F152:F156)</f>
        <v>0</v>
      </c>
      <c r="G157" s="198">
        <f t="shared" si="45"/>
        <v>0</v>
      </c>
      <c r="H157" s="198">
        <f t="shared" si="45"/>
        <v>0</v>
      </c>
      <c r="I157" s="198">
        <f t="shared" si="45"/>
        <v>0</v>
      </c>
      <c r="J157" s="198">
        <f t="shared" si="45"/>
        <v>0</v>
      </c>
      <c r="K157" s="199">
        <f t="shared" si="45"/>
        <v>0</v>
      </c>
      <c r="L157" s="153"/>
      <c r="M157" s="153"/>
      <c r="N157" s="153"/>
      <c r="O157" s="178"/>
      <c r="T157" s="139"/>
    </row>
    <row r="158" spans="2:20" ht="12.75" hidden="1">
      <c r="B158" s="150"/>
      <c r="C158" s="192" t="s">
        <v>77</v>
      </c>
      <c r="D158" s="192"/>
      <c r="E158" s="192"/>
      <c r="F158" s="192"/>
      <c r="G158" s="192"/>
      <c r="H158" s="192"/>
      <c r="I158" s="192"/>
      <c r="J158" s="192"/>
      <c r="K158" s="151"/>
      <c r="L158" s="192"/>
      <c r="M158" s="151"/>
      <c r="N158" s="151"/>
      <c r="O158" s="178"/>
      <c r="T158" s="139"/>
    </row>
    <row r="159" spans="2:20" ht="12.75" hidden="1">
      <c r="B159" s="150"/>
      <c r="C159" s="192">
        <f>C33</f>
        <v>0</v>
      </c>
      <c r="D159" s="192"/>
      <c r="E159" s="192"/>
      <c r="F159" s="153">
        <f>IF(F142&lt;&gt;0,(F142-($G33-SUM($F123:F123))),0)</f>
        <v>0</v>
      </c>
      <c r="G159" s="153">
        <f>IF(G142&lt;&gt;0,(G142-($G33-SUM($F123:G123))),0)</f>
        <v>0</v>
      </c>
      <c r="H159" s="153">
        <f>IF(H142&lt;&gt;0,(H142-($G33-SUM($F123:H123))),0)</f>
        <v>0</v>
      </c>
      <c r="I159" s="153">
        <f>IF(I142&lt;&gt;0,(I142-($G33-SUM($F123:I123))),0)</f>
        <v>0</v>
      </c>
      <c r="J159" s="153">
        <f>IF(J142&lt;&gt;0,(J142-($G33-SUM($F123:J123))),0)</f>
        <v>0</v>
      </c>
      <c r="K159" s="196">
        <f>K142-K123</f>
        <v>0</v>
      </c>
      <c r="L159" s="153"/>
      <c r="M159" s="151"/>
      <c r="N159" s="151"/>
      <c r="O159" s="178"/>
      <c r="T159" s="139"/>
    </row>
    <row r="160" spans="2:20" ht="12.75" hidden="1">
      <c r="B160" s="150"/>
      <c r="C160" s="192">
        <f>C34</f>
        <v>0</v>
      </c>
      <c r="D160" s="192"/>
      <c r="E160" s="192"/>
      <c r="F160" s="153">
        <f>IF(F143&lt;&gt;0,(F143-($G34-SUM($F124:F124))),0)</f>
        <v>0</v>
      </c>
      <c r="G160" s="153">
        <f>IF(G143&lt;&gt;0,(G143-($G34-SUM($F124:G124))),0)</f>
        <v>0</v>
      </c>
      <c r="H160" s="153">
        <f>IF(H143&lt;&gt;0,(H143-($G34-SUM($F124:H124))),0)</f>
        <v>0</v>
      </c>
      <c r="I160" s="153">
        <f>IF(I143&lt;&gt;0,(I143-($G34-SUM($F124:I124))),0)</f>
        <v>0</v>
      </c>
      <c r="J160" s="153">
        <f>IF(J143&lt;&gt;0,(J143-($G34-SUM($F124:J124))),0)</f>
        <v>0</v>
      </c>
      <c r="K160" s="196">
        <f>K143-K124</f>
        <v>0</v>
      </c>
      <c r="L160" s="153"/>
      <c r="M160" s="151"/>
      <c r="N160" s="151"/>
      <c r="O160" s="178"/>
      <c r="T160" s="139"/>
    </row>
    <row r="161" spans="2:20" ht="12.75" hidden="1">
      <c r="B161" s="150"/>
      <c r="C161" s="192">
        <f>C35</f>
        <v>0</v>
      </c>
      <c r="D161" s="192"/>
      <c r="E161" s="192"/>
      <c r="F161" s="153">
        <f>IF(F144&lt;&gt;0,(F144-($G35-SUM($F125:F125))),0)</f>
        <v>0</v>
      </c>
      <c r="G161" s="153">
        <f>IF(G144&lt;&gt;0,(G144-($G35-SUM($F125:G125))),0)</f>
        <v>0</v>
      </c>
      <c r="H161" s="153">
        <f>IF(H144&lt;&gt;0,(H144-($G35-SUM($F125:H125))),0)</f>
        <v>0</v>
      </c>
      <c r="I161" s="153">
        <f>IF(I144&lt;&gt;0,(I144-($G35-SUM($F125:I125))),0)</f>
        <v>0</v>
      </c>
      <c r="J161" s="153">
        <f>IF(J144&lt;&gt;0,(J144-($G35-SUM($F125:J125))),0)</f>
        <v>0</v>
      </c>
      <c r="K161" s="196">
        <f>K144-K125</f>
        <v>0</v>
      </c>
      <c r="L161" s="153"/>
      <c r="M161" s="151"/>
      <c r="N161" s="151"/>
      <c r="O161" s="178"/>
      <c r="T161" s="139"/>
    </row>
    <row r="162" spans="2:20" ht="12.75" hidden="1">
      <c r="B162" s="150"/>
      <c r="C162" s="192">
        <f>C36</f>
        <v>0</v>
      </c>
      <c r="D162" s="192"/>
      <c r="E162" s="192"/>
      <c r="F162" s="153">
        <f>IF(F145&lt;&gt;0,(F145-($G36-SUM($F126:F126))),0)</f>
        <v>0</v>
      </c>
      <c r="G162" s="153">
        <f>IF(G145&lt;&gt;0,(G145-($G36-SUM($F126:G126))),0)</f>
        <v>0</v>
      </c>
      <c r="H162" s="153">
        <f>IF(H145&lt;&gt;0,(H145-($G36-SUM($F126:H126))),0)</f>
        <v>0</v>
      </c>
      <c r="I162" s="153">
        <f>IF(I145&lt;&gt;0,(I145-($G36-SUM($F126:I126))),0)</f>
        <v>0</v>
      </c>
      <c r="J162" s="153">
        <f>IF(J145&lt;&gt;0,(J145-($G36-SUM($F126:J126))),0)</f>
        <v>0</v>
      </c>
      <c r="K162" s="196">
        <f>K145-K126</f>
        <v>0</v>
      </c>
      <c r="L162" s="153"/>
      <c r="M162" s="151"/>
      <c r="N162" s="151"/>
      <c r="O162" s="178"/>
      <c r="T162" s="139"/>
    </row>
    <row r="163" spans="2:20" ht="12.75" hidden="1">
      <c r="B163" s="150"/>
      <c r="C163" s="192">
        <f>C37</f>
        <v>0</v>
      </c>
      <c r="D163" s="192"/>
      <c r="E163" s="192"/>
      <c r="F163" s="153">
        <f>IF(F146&lt;&gt;0,(F146-($G37-SUM($F127:F127))),0)</f>
        <v>0</v>
      </c>
      <c r="G163" s="153">
        <f>IF(G146&lt;&gt;0,(G146-($G37-SUM($F127:G127))),0)</f>
        <v>0</v>
      </c>
      <c r="H163" s="153">
        <f>IF(H146&lt;&gt;0,(H146-($G37-SUM($F127:H127))),0)</f>
        <v>0</v>
      </c>
      <c r="I163" s="153">
        <f>IF(I146&lt;&gt;0,(I146-($G37-SUM($F127:I127))),0)</f>
        <v>0</v>
      </c>
      <c r="J163" s="153">
        <f>IF(J146&lt;&gt;0,(J146-($G37-SUM($F127:J127))),0)</f>
        <v>0</v>
      </c>
      <c r="K163" s="196">
        <f>K146-K127</f>
        <v>0</v>
      </c>
      <c r="L163" s="153"/>
      <c r="M163" s="151"/>
      <c r="N163" s="151"/>
      <c r="O163" s="178"/>
      <c r="T163" s="139"/>
    </row>
    <row r="164" spans="2:20" ht="12.75" hidden="1">
      <c r="B164" s="150"/>
      <c r="C164" s="192"/>
      <c r="D164" s="192"/>
      <c r="E164" s="192"/>
      <c r="F164" s="198">
        <f aca="true" t="shared" si="46" ref="F164:K164">SUM(F159:F163)</f>
        <v>0</v>
      </c>
      <c r="G164" s="198">
        <f t="shared" si="46"/>
        <v>0</v>
      </c>
      <c r="H164" s="198">
        <f t="shared" si="46"/>
        <v>0</v>
      </c>
      <c r="I164" s="198">
        <f t="shared" si="46"/>
        <v>0</v>
      </c>
      <c r="J164" s="198">
        <f t="shared" si="46"/>
        <v>0</v>
      </c>
      <c r="K164" s="199">
        <f t="shared" si="46"/>
        <v>0</v>
      </c>
      <c r="L164" s="153"/>
      <c r="M164" s="151"/>
      <c r="N164" s="151"/>
      <c r="O164" s="178"/>
      <c r="T164" s="139"/>
    </row>
    <row r="165" spans="2:20" ht="4.5" customHeight="1" hidden="1">
      <c r="B165" s="150"/>
      <c r="C165" s="192"/>
      <c r="D165" s="192"/>
      <c r="E165" s="192"/>
      <c r="F165" s="153"/>
      <c r="G165" s="153"/>
      <c r="H165" s="153"/>
      <c r="I165" s="153"/>
      <c r="J165" s="153"/>
      <c r="K165" s="153"/>
      <c r="L165" s="153"/>
      <c r="M165" s="151"/>
      <c r="N165" s="151"/>
      <c r="O165" s="178"/>
      <c r="T165" s="139"/>
    </row>
    <row r="166" spans="2:20" ht="13.5" hidden="1" thickBot="1">
      <c r="B166" s="150"/>
      <c r="C166" s="202" t="s">
        <v>125</v>
      </c>
      <c r="D166" s="192"/>
      <c r="E166" s="192"/>
      <c r="F166" s="203">
        <f aca="true" t="shared" si="47" ref="F166:K166">F157+F164</f>
        <v>0</v>
      </c>
      <c r="G166" s="203">
        <f t="shared" si="47"/>
        <v>0</v>
      </c>
      <c r="H166" s="203">
        <f t="shared" si="47"/>
        <v>0</v>
      </c>
      <c r="I166" s="203">
        <f t="shared" si="47"/>
        <v>0</v>
      </c>
      <c r="J166" s="203">
        <f t="shared" si="47"/>
        <v>0</v>
      </c>
      <c r="K166" s="204">
        <f t="shared" si="47"/>
        <v>0</v>
      </c>
      <c r="L166" s="153"/>
      <c r="M166" s="151"/>
      <c r="N166" s="151"/>
      <c r="O166" s="178"/>
      <c r="T166" s="139"/>
    </row>
    <row r="167" spans="2:20" ht="7.5" customHeight="1" hidden="1">
      <c r="B167" s="150"/>
      <c r="C167" s="192"/>
      <c r="D167" s="192"/>
      <c r="E167" s="192"/>
      <c r="F167" s="192"/>
      <c r="G167" s="192"/>
      <c r="H167" s="192"/>
      <c r="I167" s="192"/>
      <c r="J167" s="192"/>
      <c r="K167" s="192"/>
      <c r="L167" s="192"/>
      <c r="M167" s="151"/>
      <c r="N167" s="151"/>
      <c r="O167" s="178"/>
      <c r="T167" s="139"/>
    </row>
    <row r="168" spans="2:20" ht="12.75" hidden="1">
      <c r="B168" s="150"/>
      <c r="C168" s="192" t="s">
        <v>118</v>
      </c>
      <c r="D168" s="192"/>
      <c r="E168" s="192"/>
      <c r="F168" s="192"/>
      <c r="G168" s="192"/>
      <c r="H168" s="192"/>
      <c r="I168" s="192"/>
      <c r="J168" s="192"/>
      <c r="K168" s="209" t="s">
        <v>45</v>
      </c>
      <c r="L168" s="192"/>
      <c r="M168" s="151"/>
      <c r="N168" s="151"/>
      <c r="O168" s="178"/>
      <c r="T168" s="139"/>
    </row>
    <row r="169" spans="2:20" ht="12.75" hidden="1">
      <c r="B169" s="150"/>
      <c r="C169" s="192">
        <f>C25</f>
        <v>0</v>
      </c>
      <c r="D169" s="192"/>
      <c r="E169" s="192"/>
      <c r="F169" s="153">
        <f>IF(F135&lt;&gt;0,(F135-($H25-SUM($F99:F99))),0)</f>
        <v>0</v>
      </c>
      <c r="G169" s="153">
        <f>IF(G135&lt;&gt;0,(G135-($H25-SUM($F99:G99))),0)</f>
        <v>0</v>
      </c>
      <c r="H169" s="153">
        <f>IF(H135&lt;&gt;0,(H135-($H25-SUM($F99:H99))),0)</f>
        <v>0</v>
      </c>
      <c r="I169" s="153">
        <f>IF(I135&lt;&gt;0,(I135-($H25-SUM($F99:I99))),0)</f>
        <v>0</v>
      </c>
      <c r="J169" s="153">
        <f>IF(J135&lt;&gt;0,(J135-($H25-SUM($F99:J99))),0)</f>
        <v>0</v>
      </c>
      <c r="K169" s="196">
        <f>K135-K99</f>
        <v>0</v>
      </c>
      <c r="L169" s="192"/>
      <c r="M169" s="151"/>
      <c r="N169" s="151"/>
      <c r="O169" s="178"/>
      <c r="T169" s="139"/>
    </row>
    <row r="170" spans="2:20" ht="12.75" hidden="1">
      <c r="B170" s="150"/>
      <c r="C170" s="192">
        <f>C26</f>
        <v>0</v>
      </c>
      <c r="D170" s="192"/>
      <c r="E170" s="192"/>
      <c r="F170" s="153">
        <f>IF(F136&lt;&gt;0,(F136-($H26-SUM($F100:F100))),0)</f>
        <v>0</v>
      </c>
      <c r="G170" s="153">
        <f>IF(G136&lt;&gt;0,(G136-($H26-SUM($F100:G100))),0)</f>
        <v>0</v>
      </c>
      <c r="H170" s="153">
        <f>IF(H136&lt;&gt;0,(H136-($H26-SUM($F100:H100))),0)</f>
        <v>0</v>
      </c>
      <c r="I170" s="153">
        <f>IF(I136&lt;&gt;0,(I136-($H26-SUM($F100:I100))),0)</f>
        <v>0</v>
      </c>
      <c r="J170" s="153">
        <f>IF(J136&lt;&gt;0,(J136-($H26-SUM($F100:J100))),0)</f>
        <v>0</v>
      </c>
      <c r="K170" s="196">
        <f>K136-K100</f>
        <v>0</v>
      </c>
      <c r="L170" s="192"/>
      <c r="M170" s="151"/>
      <c r="N170" s="151"/>
      <c r="O170" s="178"/>
      <c r="T170" s="139"/>
    </row>
    <row r="171" spans="2:20" ht="12.75" hidden="1">
      <c r="B171" s="150"/>
      <c r="C171" s="192">
        <f>C27</f>
        <v>0</v>
      </c>
      <c r="D171" s="192"/>
      <c r="E171" s="192"/>
      <c r="F171" s="153">
        <f>IF(F137&lt;&gt;0,(F137-($H27-SUM($F101:F101))),0)</f>
        <v>0</v>
      </c>
      <c r="G171" s="153">
        <f>IF(G137&lt;&gt;0,(G137-($H27-SUM($F101:G101))),0)</f>
        <v>0</v>
      </c>
      <c r="H171" s="153">
        <f>IF(H137&lt;&gt;0,(H137-($H27-SUM($F101:H101))),0)</f>
        <v>0</v>
      </c>
      <c r="I171" s="153">
        <f>IF(I137&lt;&gt;0,(I137-($H27-SUM($F101:I101))),0)</f>
        <v>0</v>
      </c>
      <c r="J171" s="153">
        <f>IF(J137&lt;&gt;0,(J137-($H27-SUM($F101:J101))),0)</f>
        <v>0</v>
      </c>
      <c r="K171" s="196">
        <f>K137-K101</f>
        <v>0</v>
      </c>
      <c r="L171" s="192"/>
      <c r="M171" s="151"/>
      <c r="N171" s="151"/>
      <c r="O171" s="178"/>
      <c r="T171" s="139"/>
    </row>
    <row r="172" spans="2:20" ht="12.75" hidden="1">
      <c r="B172" s="150"/>
      <c r="C172" s="192">
        <f>C28</f>
        <v>0</v>
      </c>
      <c r="D172" s="192"/>
      <c r="E172" s="192"/>
      <c r="F172" s="153">
        <f>IF(F138&lt;&gt;0,(F138-($H28-SUM($F102:F102))),0)</f>
        <v>0</v>
      </c>
      <c r="G172" s="153">
        <f>IF(G138&lt;&gt;0,(G138-($H28-SUM($F102:G102))),0)</f>
        <v>0</v>
      </c>
      <c r="H172" s="153">
        <f>IF(H138&lt;&gt;0,(H138-($H28-SUM($F102:H102))),0)</f>
        <v>0</v>
      </c>
      <c r="I172" s="153">
        <f>IF(I138&lt;&gt;0,(I138-($H28-SUM($F102:I102))),0)</f>
        <v>0</v>
      </c>
      <c r="J172" s="153">
        <f>IF(J138&lt;&gt;0,(J138-($H28-SUM($F102:J102))),0)</f>
        <v>0</v>
      </c>
      <c r="K172" s="196">
        <f>K138-K102</f>
        <v>0</v>
      </c>
      <c r="L172" s="192"/>
      <c r="M172" s="151"/>
      <c r="N172" s="151"/>
      <c r="O172" s="178"/>
      <c r="T172" s="139"/>
    </row>
    <row r="173" spans="2:20" ht="12.75" hidden="1">
      <c r="B173" s="150"/>
      <c r="C173" s="192">
        <f>C29</f>
        <v>0</v>
      </c>
      <c r="D173" s="192"/>
      <c r="E173" s="192"/>
      <c r="F173" s="153">
        <f>IF(F139&lt;&gt;0,(F139-($H29-SUM($F103:F103))),0)</f>
        <v>0</v>
      </c>
      <c r="G173" s="153">
        <f>IF(G139&lt;&gt;0,(G139-($H29-SUM($F103:G103))),0)</f>
        <v>0</v>
      </c>
      <c r="H173" s="153">
        <f>IF(H139&lt;&gt;0,(H139-($H29-SUM($F103:H103))),0)</f>
        <v>0</v>
      </c>
      <c r="I173" s="153">
        <f>IF(I139&lt;&gt;0,(I139-($H29-SUM($F103:I103))),0)</f>
        <v>0</v>
      </c>
      <c r="J173" s="153">
        <f>IF(J139&lt;&gt;0,(J139-($H29-SUM($F103:J103))),0)</f>
        <v>0</v>
      </c>
      <c r="K173" s="196">
        <f>K139-K103</f>
        <v>0</v>
      </c>
      <c r="L173" s="192"/>
      <c r="M173" s="151"/>
      <c r="N173" s="151"/>
      <c r="O173" s="178"/>
      <c r="T173" s="139"/>
    </row>
    <row r="174" spans="2:20" ht="12.75" hidden="1">
      <c r="B174" s="150"/>
      <c r="C174" s="192"/>
      <c r="D174" s="192"/>
      <c r="E174" s="192"/>
      <c r="F174" s="198">
        <f aca="true" t="shared" si="48" ref="F174:K174">SUM(F169:F173)</f>
        <v>0</v>
      </c>
      <c r="G174" s="198">
        <f t="shared" si="48"/>
        <v>0</v>
      </c>
      <c r="H174" s="198">
        <f t="shared" si="48"/>
        <v>0</v>
      </c>
      <c r="I174" s="198">
        <f t="shared" si="48"/>
        <v>0</v>
      </c>
      <c r="J174" s="198">
        <f t="shared" si="48"/>
        <v>0</v>
      </c>
      <c r="K174" s="199">
        <f t="shared" si="48"/>
        <v>0</v>
      </c>
      <c r="L174" s="153"/>
      <c r="M174" s="153"/>
      <c r="N174" s="153"/>
      <c r="O174" s="178"/>
      <c r="T174" s="139"/>
    </row>
    <row r="175" spans="2:20" ht="12.75" hidden="1">
      <c r="B175" s="150"/>
      <c r="C175" s="192" t="s">
        <v>119</v>
      </c>
      <c r="D175" s="192"/>
      <c r="E175" s="192"/>
      <c r="F175" s="192"/>
      <c r="G175" s="192"/>
      <c r="H175" s="192"/>
      <c r="I175" s="192"/>
      <c r="J175" s="192"/>
      <c r="K175" s="151"/>
      <c r="L175" s="192"/>
      <c r="M175" s="151"/>
      <c r="N175" s="151"/>
      <c r="O175" s="178"/>
      <c r="T175" s="139"/>
    </row>
    <row r="176" spans="2:20" ht="12.75" hidden="1">
      <c r="B176" s="150"/>
      <c r="C176" s="192">
        <f>C33</f>
        <v>0</v>
      </c>
      <c r="D176" s="192"/>
      <c r="E176" s="192"/>
      <c r="F176" s="153">
        <f>IF(F142&lt;&gt;0,(F142-($G33-SUM($F106:F106))),0)</f>
        <v>0</v>
      </c>
      <c r="G176" s="153">
        <f>IF(G142&lt;&gt;0,(G142-($G33-SUM($F106:G106))),0)</f>
        <v>0</v>
      </c>
      <c r="H176" s="153">
        <f>IF(H142&lt;&gt;0,(H142-($G33-SUM($F106:H106))),0)</f>
        <v>0</v>
      </c>
      <c r="I176" s="153">
        <f>IF(I142&lt;&gt;0,(I142-($G33-SUM($F106:I106))),0)</f>
        <v>0</v>
      </c>
      <c r="J176" s="153">
        <f>IF(J142&lt;&gt;0,(J142-($G33-SUM($F106:J106))),0)</f>
        <v>0</v>
      </c>
      <c r="K176" s="196">
        <f>K142-K106</f>
        <v>0</v>
      </c>
      <c r="L176" s="192"/>
      <c r="M176" s="151"/>
      <c r="N176" s="151"/>
      <c r="O176" s="178"/>
      <c r="T176" s="139"/>
    </row>
    <row r="177" spans="2:20" ht="12.75" hidden="1">
      <c r="B177" s="150"/>
      <c r="C177" s="192">
        <f>C34</f>
        <v>0</v>
      </c>
      <c r="D177" s="192"/>
      <c r="E177" s="192"/>
      <c r="F177" s="153">
        <f>IF(F143&lt;&gt;0,(F143-($G34-SUM($F107:F107))),0)</f>
        <v>0</v>
      </c>
      <c r="G177" s="153">
        <f>IF(G143&lt;&gt;0,(G143-($G34-SUM($F107:G107))),0)</f>
        <v>0</v>
      </c>
      <c r="H177" s="153">
        <f>IF(H143&lt;&gt;0,(H143-($G34-SUM($F107:H107))),0)</f>
        <v>0</v>
      </c>
      <c r="I177" s="153">
        <f>IF(I143&lt;&gt;0,(I143-($G34-SUM($F107:I107))),0)</f>
        <v>0</v>
      </c>
      <c r="J177" s="153">
        <f>IF(J143&lt;&gt;0,(J143-($G34-SUM($F107:J107))),0)</f>
        <v>0</v>
      </c>
      <c r="K177" s="196">
        <f>K143-K107</f>
        <v>0</v>
      </c>
      <c r="L177" s="192"/>
      <c r="M177" s="151"/>
      <c r="N177" s="151"/>
      <c r="O177" s="178"/>
      <c r="T177" s="139"/>
    </row>
    <row r="178" spans="2:20" ht="12.75" hidden="1">
      <c r="B178" s="150"/>
      <c r="C178" s="192">
        <f>C35</f>
        <v>0</v>
      </c>
      <c r="D178" s="192"/>
      <c r="E178" s="192"/>
      <c r="F178" s="153">
        <f>IF(F144&lt;&gt;0,(F144-($G35-SUM($F108:F108))),0)</f>
        <v>0</v>
      </c>
      <c r="G178" s="153">
        <f>IF(G144&lt;&gt;0,(G144-($G35-SUM($F108:G108))),0)</f>
        <v>0</v>
      </c>
      <c r="H178" s="153">
        <f>IF(H144&lt;&gt;0,(H144-($G35-SUM($F108:H108))),0)</f>
        <v>0</v>
      </c>
      <c r="I178" s="153">
        <f>IF(I144&lt;&gt;0,(I144-($G35-SUM($F108:I108))),0)</f>
        <v>0</v>
      </c>
      <c r="J178" s="153">
        <f>IF(J144&lt;&gt;0,(J144-($G35-SUM($F108:J108))),0)</f>
        <v>0</v>
      </c>
      <c r="K178" s="196">
        <f>K144-K108</f>
        <v>0</v>
      </c>
      <c r="L178" s="192"/>
      <c r="M178" s="151"/>
      <c r="N178" s="151"/>
      <c r="O178" s="178"/>
      <c r="T178" s="139"/>
    </row>
    <row r="179" spans="2:20" ht="12.75" hidden="1">
      <c r="B179" s="150"/>
      <c r="C179" s="192">
        <f>C36</f>
        <v>0</v>
      </c>
      <c r="D179" s="192"/>
      <c r="E179" s="192"/>
      <c r="F179" s="153">
        <f>IF(F145&lt;&gt;0,(F145-($G36-SUM($F109:F109))),0)</f>
        <v>0</v>
      </c>
      <c r="G179" s="153">
        <f>IF(G145&lt;&gt;0,(G145-($G36-SUM($F109:G109))),0)</f>
        <v>0</v>
      </c>
      <c r="H179" s="153">
        <f>IF(H145&lt;&gt;0,(H145-($G36-SUM($F109:H109))),0)</f>
        <v>0</v>
      </c>
      <c r="I179" s="153">
        <f>IF(I145&lt;&gt;0,(I145-($G36-SUM($F109:I109))),0)</f>
        <v>0</v>
      </c>
      <c r="J179" s="153">
        <f>IF(J145&lt;&gt;0,(J145-($G36-SUM($F109:J109))),0)</f>
        <v>0</v>
      </c>
      <c r="K179" s="196">
        <f>K145-K109</f>
        <v>0</v>
      </c>
      <c r="L179" s="192"/>
      <c r="M179" s="151"/>
      <c r="N179" s="151"/>
      <c r="O179" s="178"/>
      <c r="T179" s="139"/>
    </row>
    <row r="180" spans="2:20" ht="12.75" hidden="1">
      <c r="B180" s="150"/>
      <c r="C180" s="192">
        <f>C37</f>
        <v>0</v>
      </c>
      <c r="D180" s="192"/>
      <c r="E180" s="192"/>
      <c r="F180" s="153">
        <f>IF(F146&lt;&gt;0,(F146-($G37-SUM($F110:F110))),0)</f>
        <v>0</v>
      </c>
      <c r="G180" s="153">
        <f>IF(G146&lt;&gt;0,(G146-($G37-SUM($F110:G110))),0)</f>
        <v>0</v>
      </c>
      <c r="H180" s="153">
        <f>IF(H146&lt;&gt;0,(H146-($G37-SUM($F110:H110))),0)</f>
        <v>0</v>
      </c>
      <c r="I180" s="153">
        <f>IF(I146&lt;&gt;0,(I146-($G37-SUM($F110:I110))),0)</f>
        <v>0</v>
      </c>
      <c r="J180" s="153">
        <f>IF(J146&lt;&gt;0,(J146-($G37-SUM($F110:J110))),0)</f>
        <v>0</v>
      </c>
      <c r="K180" s="196">
        <f>K146-K110</f>
        <v>0</v>
      </c>
      <c r="L180" s="192"/>
      <c r="M180" s="151"/>
      <c r="N180" s="151"/>
      <c r="O180" s="178"/>
      <c r="T180" s="139"/>
    </row>
    <row r="181" spans="2:20" ht="12.75" hidden="1">
      <c r="B181" s="150"/>
      <c r="C181" s="192"/>
      <c r="D181" s="192"/>
      <c r="E181" s="192"/>
      <c r="F181" s="198">
        <f aca="true" t="shared" si="49" ref="F181:K181">SUM(F176:F180)</f>
        <v>0</v>
      </c>
      <c r="G181" s="198">
        <f t="shared" si="49"/>
        <v>0</v>
      </c>
      <c r="H181" s="198">
        <f t="shared" si="49"/>
        <v>0</v>
      </c>
      <c r="I181" s="198">
        <f t="shared" si="49"/>
        <v>0</v>
      </c>
      <c r="J181" s="198">
        <f t="shared" si="49"/>
        <v>0</v>
      </c>
      <c r="K181" s="199">
        <f t="shared" si="49"/>
        <v>0</v>
      </c>
      <c r="L181" s="192"/>
      <c r="M181" s="151"/>
      <c r="N181" s="151"/>
      <c r="O181" s="178"/>
      <c r="T181" s="139"/>
    </row>
    <row r="182" spans="2:20" ht="4.5" customHeight="1" hidden="1">
      <c r="B182" s="150"/>
      <c r="C182" s="192"/>
      <c r="D182" s="192"/>
      <c r="E182" s="192"/>
      <c r="F182" s="153"/>
      <c r="G182" s="153"/>
      <c r="H182" s="153"/>
      <c r="I182" s="153"/>
      <c r="J182" s="153"/>
      <c r="K182" s="153"/>
      <c r="L182" s="192"/>
      <c r="M182" s="151"/>
      <c r="N182" s="151"/>
      <c r="O182" s="178"/>
      <c r="T182" s="139"/>
    </row>
    <row r="183" spans="2:20" ht="13.5" hidden="1" thickBot="1">
      <c r="B183" s="150"/>
      <c r="C183" s="202" t="s">
        <v>126</v>
      </c>
      <c r="D183" s="192"/>
      <c r="E183" s="192"/>
      <c r="F183" s="203">
        <f aca="true" t="shared" si="50" ref="F183:K183">F174+F181</f>
        <v>0</v>
      </c>
      <c r="G183" s="203">
        <f t="shared" si="50"/>
        <v>0</v>
      </c>
      <c r="H183" s="203">
        <f t="shared" si="50"/>
        <v>0</v>
      </c>
      <c r="I183" s="203">
        <f t="shared" si="50"/>
        <v>0</v>
      </c>
      <c r="J183" s="203">
        <f t="shared" si="50"/>
        <v>0</v>
      </c>
      <c r="K183" s="204">
        <f t="shared" si="50"/>
        <v>0</v>
      </c>
      <c r="L183" s="192"/>
      <c r="M183" s="151"/>
      <c r="N183" s="151"/>
      <c r="O183" s="178"/>
      <c r="T183" s="139"/>
    </row>
    <row r="184" spans="2:20" ht="6" customHeight="1" hidden="1">
      <c r="B184" s="206"/>
      <c r="C184" s="207"/>
      <c r="D184" s="207"/>
      <c r="E184" s="207"/>
      <c r="F184" s="184"/>
      <c r="G184" s="184"/>
      <c r="H184" s="184"/>
      <c r="I184" s="184"/>
      <c r="J184" s="184"/>
      <c r="K184" s="184"/>
      <c r="L184" s="207"/>
      <c r="M184" s="183"/>
      <c r="N184" s="183"/>
      <c r="O184" s="185"/>
      <c r="T184" s="139"/>
    </row>
    <row r="185" spans="2:20" ht="6" customHeight="1" hidden="1">
      <c r="B185" s="143"/>
      <c r="C185" s="208"/>
      <c r="D185" s="208"/>
      <c r="E185" s="208"/>
      <c r="F185" s="153"/>
      <c r="G185" s="153"/>
      <c r="H185" s="153"/>
      <c r="I185" s="153"/>
      <c r="J185" s="153"/>
      <c r="K185" s="153"/>
      <c r="L185" s="208"/>
      <c r="M185" s="143"/>
      <c r="N185" s="143"/>
      <c r="O185" s="143"/>
      <c r="T185" s="139"/>
    </row>
    <row r="186" spans="2:20" ht="16.5" customHeight="1" collapsed="1">
      <c r="B186" s="189"/>
      <c r="C186" s="146" t="s">
        <v>87</v>
      </c>
      <c r="D186" s="191"/>
      <c r="E186" s="191"/>
      <c r="F186" s="191"/>
      <c r="G186" s="191"/>
      <c r="H186" s="191"/>
      <c r="I186" s="191"/>
      <c r="J186" s="191"/>
      <c r="K186" s="191"/>
      <c r="L186" s="191"/>
      <c r="M186" s="147"/>
      <c r="N186" s="147"/>
      <c r="O186" s="176"/>
      <c r="T186" s="139" t="b">
        <v>0</v>
      </c>
    </row>
    <row r="187" spans="2:20" ht="12" customHeight="1" hidden="1">
      <c r="B187" s="150"/>
      <c r="C187" s="192" t="s">
        <v>115</v>
      </c>
      <c r="D187" s="192"/>
      <c r="E187" s="192"/>
      <c r="F187" s="164">
        <f>F5</f>
        <v>2011</v>
      </c>
      <c r="G187" s="164">
        <f>G5</f>
        <v>2012</v>
      </c>
      <c r="H187" s="164">
        <f>H5</f>
        <v>2013</v>
      </c>
      <c r="I187" s="164">
        <f>I5</f>
        <v>2014</v>
      </c>
      <c r="J187" s="164">
        <f>J5</f>
        <v>2015</v>
      </c>
      <c r="K187" s="209" t="s">
        <v>6</v>
      </c>
      <c r="L187" s="194" t="s">
        <v>116</v>
      </c>
      <c r="M187" s="151"/>
      <c r="N187" s="151"/>
      <c r="O187" s="178"/>
      <c r="T187" s="139"/>
    </row>
    <row r="188" spans="2:20" ht="12" customHeight="1" hidden="1">
      <c r="B188" s="150"/>
      <c r="C188" s="192">
        <f>C25</f>
        <v>0</v>
      </c>
      <c r="D188" s="192"/>
      <c r="E188" s="192"/>
      <c r="F188" s="153">
        <f>IF(($F25+F$98-1)&lt;Assumptions!$F$13,(($N25/(1-($F25/Assumptions!$F$13)))/Assumptions!$F$13),0)</f>
        <v>0</v>
      </c>
      <c r="G188" s="153">
        <f>IF(($F25+G$98-1)&lt;Assumptions!$F$13,(($N25/(1-($F25/Assumptions!$F$13)))/Assumptions!$F$13),0)</f>
        <v>0</v>
      </c>
      <c r="H188" s="153">
        <f>IF(($F25+H$98-1)&lt;Assumptions!$F$13,(($N25/(1-($F25/Assumptions!$F$13)))/Assumptions!$F$13),0)</f>
        <v>0</v>
      </c>
      <c r="I188" s="153">
        <f>IF(($F25+I$98-1)&lt;Assumptions!$F$13,(($N25/(1-($F25/Assumptions!$F$13)))/Assumptions!$F$13),0)</f>
        <v>0</v>
      </c>
      <c r="J188" s="153">
        <f>IF(($F25+J$98-1)&lt;Assumptions!$F$13,(($N25/(1-($F25/Assumptions!$F$13)))/Assumptions!$F$13),0)</f>
        <v>0</v>
      </c>
      <c r="K188" s="196">
        <f>SUM(F188:J188)</f>
        <v>0</v>
      </c>
      <c r="L188" s="153">
        <f>N25-K188</f>
        <v>0</v>
      </c>
      <c r="M188" s="151"/>
      <c r="N188" s="151"/>
      <c r="O188" s="178"/>
      <c r="T188" s="139"/>
    </row>
    <row r="189" spans="2:20" ht="12" customHeight="1" hidden="1">
      <c r="B189" s="150"/>
      <c r="C189" s="192">
        <f>C26</f>
        <v>0</v>
      </c>
      <c r="D189" s="192"/>
      <c r="E189" s="192"/>
      <c r="F189" s="153">
        <f>IF(($F26+F$98-1)&lt;Assumptions!$F$13,(($N26/(1-($F26/Assumptions!$F$13)))/Assumptions!$F$13),0)</f>
        <v>0</v>
      </c>
      <c r="G189" s="153">
        <f>IF(($F26+G$98-1)&lt;Assumptions!$F$13,(($N26/(1-($F26/Assumptions!$F$13)))/Assumptions!$F$13),0)</f>
        <v>0</v>
      </c>
      <c r="H189" s="153">
        <f>IF(($F26+H$98-1)&lt;Assumptions!$F$13,(($N26/(1-($F26/Assumptions!$F$13)))/Assumptions!$F$13),0)</f>
        <v>0</v>
      </c>
      <c r="I189" s="153">
        <f>IF(($F26+I$98-1)&lt;Assumptions!$F$13,(($N26/(1-($F26/Assumptions!$F$13)))/Assumptions!$F$13),0)</f>
        <v>0</v>
      </c>
      <c r="J189" s="153">
        <f>IF(($F26+J$98-1)&lt;Assumptions!$F$13,(($N26/(1-($F26/Assumptions!$F$13)))/Assumptions!$F$13),0)</f>
        <v>0</v>
      </c>
      <c r="K189" s="196">
        <f>SUM(F189:J189)</f>
        <v>0</v>
      </c>
      <c r="L189" s="153">
        <f>N26-K189</f>
        <v>0</v>
      </c>
      <c r="M189" s="151"/>
      <c r="N189" s="151"/>
      <c r="O189" s="178"/>
      <c r="T189" s="139"/>
    </row>
    <row r="190" spans="2:20" ht="12" customHeight="1" hidden="1">
      <c r="B190" s="150"/>
      <c r="C190" s="192">
        <f>C27</f>
        <v>0</v>
      </c>
      <c r="D190" s="192"/>
      <c r="E190" s="192"/>
      <c r="F190" s="153">
        <f>IF(($F27+F$98-1)&lt;Assumptions!$F$13,(($N27/(1-($F27/Assumptions!$F$13)))/Assumptions!$F$13),0)</f>
        <v>0</v>
      </c>
      <c r="G190" s="153">
        <f>IF(($F27+G$98-1)&lt;Assumptions!$F$13,(($N27/(1-($F27/Assumptions!$F$13)))/Assumptions!$F$13),0)</f>
        <v>0</v>
      </c>
      <c r="H190" s="153">
        <f>IF(($F27+H$98-1)&lt;Assumptions!$F$13,(($N27/(1-($F27/Assumptions!$F$13)))/Assumptions!$F$13),0)</f>
        <v>0</v>
      </c>
      <c r="I190" s="153">
        <f>IF(($F27+I$98-1)&lt;Assumptions!$F$13,(($N27/(1-($F27/Assumptions!$F$13)))/Assumptions!$F$13),0)</f>
        <v>0</v>
      </c>
      <c r="J190" s="153">
        <f>IF(($F27+J$98-1)&lt;Assumptions!$F$13,(($N27/(1-($F27/Assumptions!$F$13)))/Assumptions!$F$13),0)</f>
        <v>0</v>
      </c>
      <c r="K190" s="196">
        <f>SUM(F190:J190)</f>
        <v>0</v>
      </c>
      <c r="L190" s="153">
        <f>N27-K190</f>
        <v>0</v>
      </c>
      <c r="M190" s="151"/>
      <c r="N190" s="151"/>
      <c r="O190" s="178"/>
      <c r="T190" s="139"/>
    </row>
    <row r="191" spans="2:20" ht="12" customHeight="1" hidden="1">
      <c r="B191" s="150"/>
      <c r="C191" s="192">
        <f>C28</f>
        <v>0</v>
      </c>
      <c r="D191" s="192"/>
      <c r="E191" s="192"/>
      <c r="F191" s="153">
        <f>IF(($F28+F$98-1)&lt;Assumptions!$F$13,(($N28/(1-($F28/Assumptions!$F$13)))/Assumptions!$F$13),0)</f>
        <v>0</v>
      </c>
      <c r="G191" s="153">
        <f>IF(($F28+G$98-1)&lt;Assumptions!$F$13,(($N28/(1-($F28/Assumptions!$F$13)))/Assumptions!$F$13),0)</f>
        <v>0</v>
      </c>
      <c r="H191" s="153">
        <f>IF(($F28+H$98-1)&lt;Assumptions!$F$13,(($N28/(1-($F28/Assumptions!$F$13)))/Assumptions!$F$13),0)</f>
        <v>0</v>
      </c>
      <c r="I191" s="153">
        <f>IF(($F28+I$98-1)&lt;Assumptions!$F$13,(($N28/(1-($F28/Assumptions!$F$13)))/Assumptions!$F$13),0)</f>
        <v>0</v>
      </c>
      <c r="J191" s="153">
        <f>IF(($F28+J$98-1)&lt;Assumptions!$F$13,(($N28/(1-($F28/Assumptions!$F$13)))/Assumptions!$F$13),0)</f>
        <v>0</v>
      </c>
      <c r="K191" s="196">
        <f>SUM(F191:J191)</f>
        <v>0</v>
      </c>
      <c r="L191" s="153">
        <f>N28-K191</f>
        <v>0</v>
      </c>
      <c r="M191" s="151"/>
      <c r="N191" s="151"/>
      <c r="O191" s="178"/>
      <c r="T191" s="139"/>
    </row>
    <row r="192" spans="2:20" ht="12" customHeight="1" hidden="1">
      <c r="B192" s="150"/>
      <c r="C192" s="192">
        <f>C29</f>
        <v>0</v>
      </c>
      <c r="D192" s="192"/>
      <c r="E192" s="192"/>
      <c r="F192" s="153">
        <f>IF(($F29+F$98-1)&lt;Assumptions!$F$13,(($N29/(1-($F29/Assumptions!$F$13)))/Assumptions!$F$13),0)</f>
        <v>0</v>
      </c>
      <c r="G192" s="153">
        <f>IF(($F29+G$98-1)&lt;Assumptions!$F$13,(($N29/(1-($F29/Assumptions!$F$13)))/Assumptions!$F$13),0)</f>
        <v>0</v>
      </c>
      <c r="H192" s="153">
        <f>IF(($F29+H$98-1)&lt;Assumptions!$F$13,(($N29/(1-($F29/Assumptions!$F$13)))/Assumptions!$F$13),0)</f>
        <v>0</v>
      </c>
      <c r="I192" s="153">
        <f>IF(($F29+I$98-1)&lt;Assumptions!$F$13,(($N29/(1-($F29/Assumptions!$F$13)))/Assumptions!$F$13),0)</f>
        <v>0</v>
      </c>
      <c r="J192" s="153">
        <f>IF(($F29+J$98-1)&lt;Assumptions!$F$13,(($N29/(1-($F29/Assumptions!$F$13)))/Assumptions!$F$13),0)</f>
        <v>0</v>
      </c>
      <c r="K192" s="196">
        <f>SUM(F192:J192)</f>
        <v>0</v>
      </c>
      <c r="L192" s="153">
        <f>N29-K192</f>
        <v>0</v>
      </c>
      <c r="M192" s="151"/>
      <c r="N192" s="151"/>
      <c r="O192" s="178"/>
      <c r="T192" s="139"/>
    </row>
    <row r="193" spans="2:20" ht="12" customHeight="1" hidden="1">
      <c r="B193" s="150"/>
      <c r="C193" s="192"/>
      <c r="D193" s="192"/>
      <c r="E193" s="192"/>
      <c r="F193" s="198">
        <f aca="true" t="shared" si="51" ref="F193:L193">SUM(F188:F192)</f>
        <v>0</v>
      </c>
      <c r="G193" s="198">
        <f t="shared" si="51"/>
        <v>0</v>
      </c>
      <c r="H193" s="198">
        <f t="shared" si="51"/>
        <v>0</v>
      </c>
      <c r="I193" s="198">
        <f t="shared" si="51"/>
        <v>0</v>
      </c>
      <c r="J193" s="198">
        <f t="shared" si="51"/>
        <v>0</v>
      </c>
      <c r="K193" s="199">
        <f t="shared" si="51"/>
        <v>0</v>
      </c>
      <c r="L193" s="198">
        <f t="shared" si="51"/>
        <v>0</v>
      </c>
      <c r="M193" s="151"/>
      <c r="N193" s="151"/>
      <c r="O193" s="178"/>
      <c r="T193" s="139"/>
    </row>
    <row r="194" spans="2:20" ht="12" customHeight="1" hidden="1">
      <c r="B194" s="150"/>
      <c r="C194" s="192" t="s">
        <v>117</v>
      </c>
      <c r="D194" s="192"/>
      <c r="E194" s="192"/>
      <c r="F194" s="192"/>
      <c r="G194" s="192"/>
      <c r="H194" s="192"/>
      <c r="I194" s="192"/>
      <c r="J194" s="192"/>
      <c r="K194" s="192"/>
      <c r="L194" s="192"/>
      <c r="M194" s="151"/>
      <c r="N194" s="151"/>
      <c r="O194" s="178"/>
      <c r="T194" s="139"/>
    </row>
    <row r="195" spans="2:20" ht="12" customHeight="1" hidden="1">
      <c r="B195" s="150"/>
      <c r="C195" s="192">
        <f>C33</f>
        <v>0</v>
      </c>
      <c r="D195" s="192"/>
      <c r="E195" s="192"/>
      <c r="F195" s="192">
        <f>IF($F33&lt;=F$98,IF(($F33+F$98-1)&lt;$E33,(MAX(($G33-$H33),0)/Assumptions!$F$13),0),0)</f>
        <v>0</v>
      </c>
      <c r="G195" s="192">
        <f>IF($F33&lt;=G$98,IF(($F33+G$98-1)&lt;$E33,(MAX(($G33-$H33),0)/Assumptions!$F$13),0),0)</f>
        <v>0</v>
      </c>
      <c r="H195" s="192">
        <f>IF($F33&lt;=H$98,IF(($F33+H$98-1)&lt;$E33,(MAX(($G33-$H33),0)/Assumptions!$F$13),0),0)</f>
        <v>0</v>
      </c>
      <c r="I195" s="192">
        <f>IF($F33&lt;=I$98,IF(($F33+I$98-1)&lt;$E33,(MAX(($G33-$H33),0)/Assumptions!$F$13),0),0)</f>
        <v>0</v>
      </c>
      <c r="J195" s="192">
        <f>IF($F33&lt;=J$98,IF(($F33+J$98-1)&lt;$E33,(MAX(($G33-$H33),0)/Assumptions!$F$13),0),0)</f>
        <v>0</v>
      </c>
      <c r="K195" s="210">
        <f>SUM(F195:J195)</f>
        <v>0</v>
      </c>
      <c r="L195" s="153">
        <f>MAX(($G33-$H33-K195),0)</f>
        <v>0</v>
      </c>
      <c r="M195" s="151"/>
      <c r="N195" s="151"/>
      <c r="O195" s="178"/>
      <c r="T195" s="139"/>
    </row>
    <row r="196" spans="2:20" ht="12" customHeight="1" hidden="1">
      <c r="B196" s="150"/>
      <c r="C196" s="192">
        <f>C34</f>
        <v>0</v>
      </c>
      <c r="D196" s="192"/>
      <c r="E196" s="192"/>
      <c r="F196" s="192">
        <f>IF($F34&lt;=F$98,IF(($F34+F$98-1)&lt;$E34,(MAX(($G34-$H34),0)/Assumptions!$F$13),0),0)</f>
        <v>0</v>
      </c>
      <c r="G196" s="192">
        <f>IF($F34&lt;=G$98,IF(($F34+G$98-1)&lt;$E34,(MAX(($G34-$H34),0)/Assumptions!$F$13),0),0)</f>
        <v>0</v>
      </c>
      <c r="H196" s="192">
        <f>IF($F34&lt;=H$98,IF(($F34+H$98-1)&lt;$E34,(MAX(($G34-$H34),0)/Assumptions!$F$13),0),0)</f>
        <v>0</v>
      </c>
      <c r="I196" s="192">
        <f>IF($F34&lt;=I$98,IF(($F34+I$98-1)&lt;$E34,(MAX(($G34-$H34),0)/Assumptions!$F$13),0),0)</f>
        <v>0</v>
      </c>
      <c r="J196" s="192">
        <f>IF($F34&lt;=J$98,IF(($F34+J$98-1)&lt;$E34,(MAX(($G34-$H34),0)/Assumptions!$F$13),0),0)</f>
        <v>0</v>
      </c>
      <c r="K196" s="210">
        <f>SUM(F196:J196)</f>
        <v>0</v>
      </c>
      <c r="L196" s="153">
        <f>MAX(($G34-$H34-K196),0)</f>
        <v>0</v>
      </c>
      <c r="M196" s="151"/>
      <c r="N196" s="151"/>
      <c r="O196" s="178"/>
      <c r="T196" s="139"/>
    </row>
    <row r="197" spans="2:20" ht="12" customHeight="1" hidden="1">
      <c r="B197" s="150"/>
      <c r="C197" s="192">
        <f>C35</f>
        <v>0</v>
      </c>
      <c r="D197" s="192"/>
      <c r="E197" s="192"/>
      <c r="F197" s="192">
        <f>IF($F35&lt;=F$98,IF(($F35+F$98-1)&lt;$E35,(MAX(($G35-$H35),0)/Assumptions!$F$13),0),0)</f>
        <v>0</v>
      </c>
      <c r="G197" s="192">
        <f>IF($F35&lt;=G$98,IF(($F35+G$98-1)&lt;$E35,(MAX(($G35-$H35),0)/Assumptions!$F$13),0),0)</f>
        <v>0</v>
      </c>
      <c r="H197" s="192">
        <f>IF($F35&lt;=H$98,IF(($F35+H$98-1)&lt;$E35,(MAX(($G35-$H35),0)/Assumptions!$F$13),0),0)</f>
        <v>0</v>
      </c>
      <c r="I197" s="192">
        <f>IF($F35&lt;=I$98,IF(($F35+I$98-1)&lt;$E35,(MAX(($G35-$H35),0)/Assumptions!$F$13),0),0)</f>
        <v>0</v>
      </c>
      <c r="J197" s="192">
        <f>IF($F35&lt;=J$98,IF(($F35+J$98-1)&lt;$E35,(MAX(($G35-$H35),0)/Assumptions!$F$13),0),0)</f>
        <v>0</v>
      </c>
      <c r="K197" s="210">
        <f>SUM(F197:J197)</f>
        <v>0</v>
      </c>
      <c r="L197" s="153">
        <f>MAX(($G35-$H35-K197),0)</f>
        <v>0</v>
      </c>
      <c r="M197" s="151"/>
      <c r="N197" s="151"/>
      <c r="O197" s="178"/>
      <c r="T197" s="139"/>
    </row>
    <row r="198" spans="2:20" ht="12" customHeight="1" hidden="1">
      <c r="B198" s="150"/>
      <c r="C198" s="192">
        <f>C36</f>
        <v>0</v>
      </c>
      <c r="D198" s="192"/>
      <c r="E198" s="192"/>
      <c r="F198" s="192">
        <f>IF($F36&lt;=F$98,IF(($F36+F$98-1)&lt;$E36,(MAX(($G36-$H36),0)/Assumptions!$F$13),0),0)</f>
        <v>0</v>
      </c>
      <c r="G198" s="192">
        <f>IF($F36&lt;=G$98,IF(($F36+G$98-1)&lt;$E36,(MAX(($G36-$H36),0)/Assumptions!$F$13),0),0)</f>
        <v>0</v>
      </c>
      <c r="H198" s="192">
        <f>IF($F36&lt;=H$98,IF(($F36+H$98-1)&lt;$E36,(MAX(($G36-$H36),0)/Assumptions!$F$13),0),0)</f>
        <v>0</v>
      </c>
      <c r="I198" s="192">
        <f>IF($F36&lt;=I$98,IF(($F36+I$98-1)&lt;$E36,(MAX(($G36-$H36),0)/Assumptions!$F$13),0),0)</f>
        <v>0</v>
      </c>
      <c r="J198" s="192">
        <f>IF($F36&lt;=J$98,IF(($F36+J$98-1)&lt;$E36,(MAX(($G36-$H36),0)/Assumptions!$F$13),0),0)</f>
        <v>0</v>
      </c>
      <c r="K198" s="210">
        <f>SUM(F198:J198)</f>
        <v>0</v>
      </c>
      <c r="L198" s="153">
        <f>MAX(($G36-$H36-K198),0)</f>
        <v>0</v>
      </c>
      <c r="M198" s="151"/>
      <c r="N198" s="151"/>
      <c r="O198" s="178"/>
      <c r="T198" s="139"/>
    </row>
    <row r="199" spans="2:20" ht="12" customHeight="1" hidden="1">
      <c r="B199" s="150"/>
      <c r="C199" s="192">
        <f>C37</f>
        <v>0</v>
      </c>
      <c r="D199" s="192"/>
      <c r="E199" s="192"/>
      <c r="F199" s="192">
        <f>IF($F37&lt;=F$98,IF(($F37+F$98-1)&lt;$E37,(MAX(($G37-$H37),0)/Assumptions!$F$13),0),0)</f>
        <v>0</v>
      </c>
      <c r="G199" s="192">
        <f>IF($F37&lt;=G$98,IF(($F37+G$98-1)&lt;$E37,(MAX(($G37-$H37),0)/Assumptions!$F$13),0),0)</f>
        <v>0</v>
      </c>
      <c r="H199" s="192">
        <f>IF($F37&lt;=H$98,IF(($F37+H$98-1)&lt;$E37,(MAX(($G37-$H37),0)/Assumptions!$F$13),0),0)</f>
        <v>0</v>
      </c>
      <c r="I199" s="192">
        <f>IF($F37&lt;=I$98,IF(($F37+I$98-1)&lt;$E37,(MAX(($G37-$H37),0)/Assumptions!$F$13),0),0)</f>
        <v>0</v>
      </c>
      <c r="J199" s="192">
        <f>IF($F37&lt;=J$98,IF(($F37+J$98-1)&lt;$E37,(MAX(($G37-$H37),0)/Assumptions!$F$13),0),0)</f>
        <v>0</v>
      </c>
      <c r="K199" s="210">
        <f>SUM(F199:J199)</f>
        <v>0</v>
      </c>
      <c r="L199" s="153">
        <f>MAX(($G37-$H37-K199),0)</f>
        <v>0</v>
      </c>
      <c r="M199" s="151"/>
      <c r="N199" s="151"/>
      <c r="O199" s="178"/>
      <c r="T199" s="139"/>
    </row>
    <row r="200" spans="2:20" ht="12" customHeight="1" hidden="1">
      <c r="B200" s="150"/>
      <c r="C200" s="192"/>
      <c r="D200" s="192"/>
      <c r="E200" s="192"/>
      <c r="F200" s="211">
        <f aca="true" t="shared" si="52" ref="F200:L200">SUM(F195:F199)</f>
        <v>0</v>
      </c>
      <c r="G200" s="211">
        <f t="shared" si="52"/>
        <v>0</v>
      </c>
      <c r="H200" s="211">
        <f t="shared" si="52"/>
        <v>0</v>
      </c>
      <c r="I200" s="211">
        <f t="shared" si="52"/>
        <v>0</v>
      </c>
      <c r="J200" s="211">
        <f t="shared" si="52"/>
        <v>0</v>
      </c>
      <c r="K200" s="212">
        <f t="shared" si="52"/>
        <v>0</v>
      </c>
      <c r="L200" s="211">
        <f t="shared" si="52"/>
        <v>0</v>
      </c>
      <c r="M200" s="151"/>
      <c r="N200" s="151"/>
      <c r="O200" s="178"/>
      <c r="T200" s="139"/>
    </row>
    <row r="201" spans="2:20" ht="6" customHeight="1" hidden="1">
      <c r="B201" s="150"/>
      <c r="C201" s="192"/>
      <c r="D201" s="192"/>
      <c r="E201" s="192"/>
      <c r="F201" s="192"/>
      <c r="G201" s="192"/>
      <c r="H201" s="192"/>
      <c r="I201" s="192"/>
      <c r="J201" s="192"/>
      <c r="K201" s="192"/>
      <c r="L201" s="192"/>
      <c r="M201" s="151"/>
      <c r="N201" s="151"/>
      <c r="O201" s="178"/>
      <c r="T201" s="139"/>
    </row>
    <row r="202" spans="2:20" ht="12" customHeight="1" hidden="1" thickBot="1">
      <c r="B202" s="150"/>
      <c r="C202" s="202" t="s">
        <v>127</v>
      </c>
      <c r="D202" s="192"/>
      <c r="E202" s="192"/>
      <c r="F202" s="203">
        <f aca="true" t="shared" si="53" ref="F202:L202">F193+F200</f>
        <v>0</v>
      </c>
      <c r="G202" s="203">
        <f t="shared" si="53"/>
        <v>0</v>
      </c>
      <c r="H202" s="203">
        <f t="shared" si="53"/>
        <v>0</v>
      </c>
      <c r="I202" s="203">
        <f t="shared" si="53"/>
        <v>0</v>
      </c>
      <c r="J202" s="203">
        <f t="shared" si="53"/>
        <v>0</v>
      </c>
      <c r="K202" s="204">
        <f t="shared" si="53"/>
        <v>0</v>
      </c>
      <c r="L202" s="203">
        <f t="shared" si="53"/>
        <v>0</v>
      </c>
      <c r="M202" s="151"/>
      <c r="N202" s="151"/>
      <c r="O202" s="178"/>
      <c r="T202" s="139"/>
    </row>
    <row r="203" spans="2:20" ht="6" customHeight="1" hidden="1">
      <c r="B203" s="206"/>
      <c r="C203" s="207"/>
      <c r="D203" s="207"/>
      <c r="E203" s="207"/>
      <c r="F203" s="207"/>
      <c r="G203" s="207"/>
      <c r="H203" s="207"/>
      <c r="I203" s="207"/>
      <c r="J203" s="207"/>
      <c r="K203" s="207"/>
      <c r="L203" s="207"/>
      <c r="M203" s="183"/>
      <c r="N203" s="183"/>
      <c r="O203" s="185"/>
      <c r="T203" s="139"/>
    </row>
    <row r="204" spans="2:20" ht="6" customHeight="1" hidden="1">
      <c r="B204" s="143"/>
      <c r="C204" s="208"/>
      <c r="D204" s="208"/>
      <c r="E204" s="208"/>
      <c r="F204" s="192"/>
      <c r="G204" s="192"/>
      <c r="H204" s="192"/>
      <c r="I204" s="192"/>
      <c r="J204" s="192"/>
      <c r="K204" s="192"/>
      <c r="L204" s="192"/>
      <c r="M204" s="143"/>
      <c r="N204" s="143"/>
      <c r="O204" s="143"/>
      <c r="T204" s="139"/>
    </row>
    <row r="205" spans="2:20" ht="16.5" customHeight="1" collapsed="1">
      <c r="B205" s="189"/>
      <c r="C205" s="146" t="s">
        <v>69</v>
      </c>
      <c r="D205" s="191"/>
      <c r="E205" s="147"/>
      <c r="F205" s="147"/>
      <c r="G205" s="147"/>
      <c r="H205" s="147"/>
      <c r="I205" s="147"/>
      <c r="J205" s="147"/>
      <c r="K205" s="147"/>
      <c r="L205" s="191"/>
      <c r="M205" s="147"/>
      <c r="N205" s="147"/>
      <c r="O205" s="176"/>
      <c r="T205" s="139" t="b">
        <v>0</v>
      </c>
    </row>
    <row r="206" spans="2:20" ht="12.75" hidden="1">
      <c r="B206" s="150"/>
      <c r="C206" s="192" t="s">
        <v>70</v>
      </c>
      <c r="D206" s="151"/>
      <c r="E206" s="193">
        <v>0</v>
      </c>
      <c r="F206" s="193">
        <v>1</v>
      </c>
      <c r="G206" s="193">
        <v>2</v>
      </c>
      <c r="H206" s="193">
        <v>3</v>
      </c>
      <c r="I206" s="193">
        <v>4</v>
      </c>
      <c r="J206" s="193">
        <v>5</v>
      </c>
      <c r="K206" s="209" t="s">
        <v>47</v>
      </c>
      <c r="L206" s="151"/>
      <c r="M206" s="151"/>
      <c r="N206" s="151"/>
      <c r="O206" s="178"/>
      <c r="T206" s="139"/>
    </row>
    <row r="207" spans="2:20" ht="12.75" hidden="1">
      <c r="B207" s="150"/>
      <c r="C207" s="192">
        <f>C19</f>
        <v>0</v>
      </c>
      <c r="D207" s="192"/>
      <c r="E207" s="153">
        <f>(-E19)*(1-Tax)</f>
        <v>0</v>
      </c>
      <c r="F207" s="153">
        <f>(-F19+IF($K19+2-F$206&gt;0,(($E19)/$K19),0))*(1-Tax)</f>
        <v>0</v>
      </c>
      <c r="G207" s="153">
        <f>(-G19+IF($K19+2-F$206&gt;0,(($E19)/$K19),0)+IF($K19+2-G$206&gt;0,(($F19)/$K19),0))*(1-Tax)</f>
        <v>0</v>
      </c>
      <c r="H207" s="153">
        <f>(-H19+IF($K19+2-F$206&gt;0,(($E19)/$K19),0)+IF($K19+2-G$206&gt;0,(($F19)/$K19),0)+IF($K19+3-H$206&gt;0,(($G19)/$K19),0))*(1-Tax)</f>
        <v>0</v>
      </c>
      <c r="I207" s="153">
        <f>(-I19+IF($K19+2-F$206&gt;0,(($E19)/$K19),0)+IF($K19+2-G$206&gt;0,(($F19)/$K19),0)+IF($K19+3-H$206&gt;0,(($G19)/$K19),0)+IF($K19+4-I$206&gt;0,(($H19)/$K19),0))*(1-Tax)</f>
        <v>0</v>
      </c>
      <c r="J207" s="153">
        <f>(-J19+IF($K19+2-F$206&gt;0,(($E19)/$K19),0)+IF($K19+2-G$206&gt;0,(($F19)/$K19),0)+IF($K19+3-H$206&gt;0,(($G19)/$K19),0)+IF($K19+4-I$206&gt;0,(($H19)/$K19),0)+IF($K19+5-J$206&gt;0,(($I19)/$K19),0))*(1-Tax)</f>
        <v>0</v>
      </c>
      <c r="K207" s="213">
        <f>(-(PV(K271,MAX($K19-5,0),$E19/$K19)+PV(K271,MAX($K19-4,0),$F19/$K19)+PV(K271,MAX($K19-3,0),$G19/$K19)+PV(K271,MAX($K19-2,0),$H19/$K19)+PV(K271,MAX($K19-1,0),$I19/$K19)+PV(K271,MAX($K19,0),$J19/$K19)))*(1-Tax)</f>
        <v>0</v>
      </c>
      <c r="L207" s="192"/>
      <c r="M207" s="151"/>
      <c r="N207" s="151"/>
      <c r="O207" s="178"/>
      <c r="T207" s="139"/>
    </row>
    <row r="208" spans="2:20" ht="12.75" hidden="1">
      <c r="B208" s="150"/>
      <c r="C208" s="192">
        <f>C20</f>
        <v>0</v>
      </c>
      <c r="D208" s="192"/>
      <c r="E208" s="153">
        <f>(-E20)*(1-Tax)</f>
        <v>0</v>
      </c>
      <c r="F208" s="153">
        <f>(-F20+IF($K20+2-F$206&gt;0,(($E20)/$K20),0))*(1-Tax)</f>
        <v>0</v>
      </c>
      <c r="G208" s="153">
        <f>(-G20+IF($K20+2-F$206&gt;0,(($E20)/$K20),0)+IF($K20+2-G$206&gt;0,(($F20)/$K20),0))*(1-Tax)</f>
        <v>0</v>
      </c>
      <c r="H208" s="153">
        <f>(-H20+IF($K20+2-F$206&gt;0,(($E20)/$K20),0)+IF($K20+2-G$206&gt;0,(($F20)/$K20),0)+IF($K20+3-H$206&gt;0,(($G20)/$K20),0))*(1-Tax)</f>
        <v>0</v>
      </c>
      <c r="I208" s="153">
        <f>(-I20+IF($K20+2-F$206&gt;0,(($E20)/$K20),0)+IF($K20+2-G$206&gt;0,(($F20)/$K20),0)+IF($K20+3-H$206&gt;0,(($G20)/$K20),0)+IF($K20+4-I$206&gt;0,(($H20)/$K20),0))*(1-Tax)</f>
        <v>0</v>
      </c>
      <c r="J208" s="153">
        <f>(-J20+IF($K20+2-F$206&gt;0,(($E20)/$K20),0)+IF($K20+2-G$206&gt;0,(($F20)/$K20),0)+IF($K20+3-H$206&gt;0,(($G20)/$K20),0)+IF($K20+4-I$206&gt;0,(($H20)/$K20),0)+IF($K20+5-J$206&gt;0,(($I20)/$K20),0))*(1-Tax)</f>
        <v>0</v>
      </c>
      <c r="K208" s="213">
        <f>(-(PV(K271,MAX($K20-5,0),$E20/$K20)+PV(K271,MAX($K20-4,0),$F20/$K20)+PV(K271,MAX($K20-3,0),$G20/$K20)+PV(K271,MAX($K20-2,0),$H20/$K20)+PV(K271,MAX($K20-1,0),$I20/$K20)+PV(K271,MAX($K20,0),$J20/$K20)))*(1-Tax)</f>
        <v>0</v>
      </c>
      <c r="L208" s="192"/>
      <c r="M208" s="151"/>
      <c r="N208" s="151"/>
      <c r="O208" s="178"/>
      <c r="T208" s="139"/>
    </row>
    <row r="209" spans="2:20" ht="12.75" hidden="1">
      <c r="B209" s="150"/>
      <c r="C209" s="192">
        <f>C21</f>
        <v>0</v>
      </c>
      <c r="D209" s="192"/>
      <c r="E209" s="153">
        <f>(-E21)*(1-Tax)</f>
        <v>0</v>
      </c>
      <c r="F209" s="153">
        <f>(-F21+IF($K21+2-F$206&gt;0,(($E21)/$K21),0))*(1-Tax)</f>
        <v>0</v>
      </c>
      <c r="G209" s="153">
        <f>(-G21+IF($K21+2-F$206&gt;0,(($E21)/$K21),0)+IF($K21+2-G$206&gt;0,(($F21)/$K21),0))*(1-Tax)</f>
        <v>0</v>
      </c>
      <c r="H209" s="153">
        <f>(-H21+IF($K21+2-F$206&gt;0,(($E21)/$K21),0)+IF($K21+2-G$206&gt;0,(($F21)/$K21),0)+IF($K21+3-H$206&gt;0,(($G21)/$K21),0))*(1-Tax)</f>
        <v>0</v>
      </c>
      <c r="I209" s="153">
        <f>(-I21+IF($K21+2-F$206&gt;0,(($E21)/$K21),0)+IF($K21+2-G$206&gt;0,(($F21)/$K21),0)+IF($K21+3-H$206&gt;0,(($G21)/$K21),0)+IF($K21+4-I$206&gt;0,(($H21)/$K21),0))*(1-Tax)</f>
        <v>0</v>
      </c>
      <c r="J209" s="153">
        <f>(-J21+IF($K21+2-F$206&gt;0,(($E21)/$K21),0)+IF($K21+2-G$206&gt;0,(($F21)/$K21),0)+IF($K21+3-H$206&gt;0,(($G21)/$K21),0)+IF($K21+4-I$206&gt;0,(($H21)/$K21),0)+IF($K21+5-J$206&gt;0,(($I21)/$K21),0))*(1-Tax)</f>
        <v>0</v>
      </c>
      <c r="K209" s="213">
        <f>(-(PV(K271,MAX($K21-5,0),$E21/$K21)+PV(K271,MAX($K21-4,0),$F21/$K21)+PV(K271,MAX($K21-3,0),$G21/$K21)+PV(K271,MAX($K21-2,0),$H21/$K21)+PV(K271,MAX($K21-1,0),$I21/$K21)+PV(K271,MAX($K21,0),$J21/$K21)))*(1-Tax)</f>
        <v>0</v>
      </c>
      <c r="L209" s="192"/>
      <c r="M209" s="151"/>
      <c r="N209" s="151"/>
      <c r="O209" s="178"/>
      <c r="T209" s="139"/>
    </row>
    <row r="210" spans="2:20" ht="13.5" hidden="1" thickBot="1">
      <c r="B210" s="150"/>
      <c r="C210" s="202" t="s">
        <v>130</v>
      </c>
      <c r="D210" s="192"/>
      <c r="E210" s="203">
        <f aca="true" t="shared" si="54" ref="E210:K210">SUM(E207:E209)</f>
        <v>0</v>
      </c>
      <c r="F210" s="203">
        <f t="shared" si="54"/>
        <v>0</v>
      </c>
      <c r="G210" s="203">
        <f t="shared" si="54"/>
        <v>0</v>
      </c>
      <c r="H210" s="203">
        <f t="shared" si="54"/>
        <v>0</v>
      </c>
      <c r="I210" s="203">
        <f t="shared" si="54"/>
        <v>0</v>
      </c>
      <c r="J210" s="203">
        <f t="shared" si="54"/>
        <v>0</v>
      </c>
      <c r="K210" s="204">
        <f t="shared" si="54"/>
        <v>0</v>
      </c>
      <c r="L210" s="192"/>
      <c r="M210" s="151"/>
      <c r="N210" s="151"/>
      <c r="O210" s="178"/>
      <c r="T210" s="139"/>
    </row>
    <row r="211" spans="2:20" ht="6" customHeight="1" hidden="1">
      <c r="B211" s="150"/>
      <c r="C211" s="192"/>
      <c r="D211" s="192"/>
      <c r="E211" s="153"/>
      <c r="F211" s="153"/>
      <c r="G211" s="153"/>
      <c r="H211" s="153"/>
      <c r="I211" s="153"/>
      <c r="J211" s="153"/>
      <c r="K211" s="153"/>
      <c r="L211" s="192"/>
      <c r="M211" s="151"/>
      <c r="N211" s="151"/>
      <c r="O211" s="178"/>
      <c r="T211" s="139"/>
    </row>
    <row r="212" spans="2:20" ht="12.75" hidden="1">
      <c r="B212" s="150"/>
      <c r="C212" s="192" t="s">
        <v>72</v>
      </c>
      <c r="D212" s="192"/>
      <c r="E212" s="192"/>
      <c r="F212" s="192"/>
      <c r="G212" s="192"/>
      <c r="H212" s="192"/>
      <c r="I212" s="192"/>
      <c r="J212" s="192"/>
      <c r="K212" s="192"/>
      <c r="L212" s="192"/>
      <c r="M212" s="151"/>
      <c r="N212" s="151"/>
      <c r="O212" s="178"/>
      <c r="T212" s="139"/>
    </row>
    <row r="213" spans="2:20" ht="12.75" hidden="1">
      <c r="B213" s="150"/>
      <c r="C213" s="192">
        <f>C19</f>
        <v>0</v>
      </c>
      <c r="D213" s="192"/>
      <c r="E213" s="153">
        <f>E207</f>
        <v>0</v>
      </c>
      <c r="F213" s="153">
        <f aca="true" t="shared" si="55" ref="F213:K215">E213+F207</f>
        <v>0</v>
      </c>
      <c r="G213" s="153">
        <f t="shared" si="55"/>
        <v>0</v>
      </c>
      <c r="H213" s="153">
        <f t="shared" si="55"/>
        <v>0</v>
      </c>
      <c r="I213" s="153">
        <f t="shared" si="55"/>
        <v>0</v>
      </c>
      <c r="J213" s="153">
        <f t="shared" si="55"/>
        <v>0</v>
      </c>
      <c r="K213" s="213">
        <f t="shared" si="55"/>
        <v>0</v>
      </c>
      <c r="L213" s="192"/>
      <c r="M213" s="151"/>
      <c r="N213" s="151"/>
      <c r="O213" s="178"/>
      <c r="T213" s="139"/>
    </row>
    <row r="214" spans="2:20" ht="12.75" hidden="1">
      <c r="B214" s="150"/>
      <c r="C214" s="192">
        <f>C20</f>
        <v>0</v>
      </c>
      <c r="D214" s="192"/>
      <c r="E214" s="153">
        <f>E208</f>
        <v>0</v>
      </c>
      <c r="F214" s="153">
        <f t="shared" si="55"/>
        <v>0</v>
      </c>
      <c r="G214" s="153">
        <f t="shared" si="55"/>
        <v>0</v>
      </c>
      <c r="H214" s="153">
        <f t="shared" si="55"/>
        <v>0</v>
      </c>
      <c r="I214" s="153">
        <f t="shared" si="55"/>
        <v>0</v>
      </c>
      <c r="J214" s="153">
        <f t="shared" si="55"/>
        <v>0</v>
      </c>
      <c r="K214" s="213">
        <f t="shared" si="55"/>
        <v>0</v>
      </c>
      <c r="L214" s="192"/>
      <c r="M214" s="151"/>
      <c r="N214" s="151"/>
      <c r="O214" s="178"/>
      <c r="T214" s="139"/>
    </row>
    <row r="215" spans="2:20" ht="12.75" hidden="1">
      <c r="B215" s="150"/>
      <c r="C215" s="192">
        <f>C21</f>
        <v>0</v>
      </c>
      <c r="D215" s="192"/>
      <c r="E215" s="153">
        <f>E209</f>
        <v>0</v>
      </c>
      <c r="F215" s="153">
        <f t="shared" si="55"/>
        <v>0</v>
      </c>
      <c r="G215" s="153">
        <f t="shared" si="55"/>
        <v>0</v>
      </c>
      <c r="H215" s="153">
        <f t="shared" si="55"/>
        <v>0</v>
      </c>
      <c r="I215" s="153">
        <f t="shared" si="55"/>
        <v>0</v>
      </c>
      <c r="J215" s="153">
        <f t="shared" si="55"/>
        <v>0</v>
      </c>
      <c r="K215" s="213">
        <f t="shared" si="55"/>
        <v>0</v>
      </c>
      <c r="L215" s="192"/>
      <c r="M215" s="151"/>
      <c r="N215" s="151"/>
      <c r="O215" s="178"/>
      <c r="T215" s="139"/>
    </row>
    <row r="216" spans="2:20" ht="13.5" hidden="1" thickBot="1">
      <c r="B216" s="150"/>
      <c r="C216" s="202" t="s">
        <v>129</v>
      </c>
      <c r="D216" s="192"/>
      <c r="E216" s="203">
        <f aca="true" t="shared" si="56" ref="E216:K216">SUM(E213:E215)</f>
        <v>0</v>
      </c>
      <c r="F216" s="203">
        <f t="shared" si="56"/>
        <v>0</v>
      </c>
      <c r="G216" s="203">
        <f t="shared" si="56"/>
        <v>0</v>
      </c>
      <c r="H216" s="203">
        <f t="shared" si="56"/>
        <v>0</v>
      </c>
      <c r="I216" s="203">
        <f t="shared" si="56"/>
        <v>0</v>
      </c>
      <c r="J216" s="203">
        <f t="shared" si="56"/>
        <v>0</v>
      </c>
      <c r="K216" s="204">
        <f t="shared" si="56"/>
        <v>0</v>
      </c>
      <c r="L216" s="192"/>
      <c r="M216" s="151"/>
      <c r="N216" s="151"/>
      <c r="O216" s="178"/>
      <c r="T216" s="139"/>
    </row>
    <row r="217" spans="2:20" ht="7.5" customHeight="1" hidden="1">
      <c r="B217" s="206"/>
      <c r="C217" s="207"/>
      <c r="D217" s="207"/>
      <c r="E217" s="184"/>
      <c r="F217" s="184"/>
      <c r="G217" s="184"/>
      <c r="H217" s="184"/>
      <c r="I217" s="184"/>
      <c r="J217" s="184"/>
      <c r="K217" s="207"/>
      <c r="L217" s="207"/>
      <c r="M217" s="183"/>
      <c r="N217" s="183"/>
      <c r="O217" s="185"/>
      <c r="T217" s="139"/>
    </row>
    <row r="218" spans="2:20" ht="7.5" customHeight="1" hidden="1">
      <c r="B218" s="143"/>
      <c r="C218" s="208"/>
      <c r="D218" s="208"/>
      <c r="E218" s="153"/>
      <c r="F218" s="153"/>
      <c r="G218" s="153"/>
      <c r="H218" s="153"/>
      <c r="I218" s="153"/>
      <c r="J218" s="153"/>
      <c r="K218" s="208"/>
      <c r="L218" s="208"/>
      <c r="M218" s="143"/>
      <c r="N218" s="143"/>
      <c r="O218" s="143"/>
      <c r="T218" s="139"/>
    </row>
    <row r="219" spans="2:20" ht="16.5" customHeight="1" collapsed="1">
      <c r="B219" s="189"/>
      <c r="C219" s="146" t="s">
        <v>65</v>
      </c>
      <c r="D219" s="191"/>
      <c r="E219" s="191"/>
      <c r="F219" s="191"/>
      <c r="G219" s="191"/>
      <c r="H219" s="191"/>
      <c r="I219" s="191"/>
      <c r="J219" s="191"/>
      <c r="K219" s="191"/>
      <c r="L219" s="191"/>
      <c r="M219" s="147"/>
      <c r="N219" s="147"/>
      <c r="O219" s="176"/>
      <c r="T219" s="139" t="b">
        <v>0</v>
      </c>
    </row>
    <row r="220" spans="2:20" ht="12.75" hidden="1">
      <c r="B220" s="150"/>
      <c r="C220" s="192" t="s">
        <v>66</v>
      </c>
      <c r="D220" s="192"/>
      <c r="E220" s="192"/>
      <c r="F220" s="164">
        <f>F5</f>
        <v>2011</v>
      </c>
      <c r="G220" s="164">
        <f>G5</f>
        <v>2012</v>
      </c>
      <c r="H220" s="164">
        <f>H5</f>
        <v>2013</v>
      </c>
      <c r="I220" s="164">
        <f>I5</f>
        <v>2014</v>
      </c>
      <c r="J220" s="164">
        <f>J5</f>
        <v>2015</v>
      </c>
      <c r="K220" s="209" t="s">
        <v>6</v>
      </c>
      <c r="L220" s="192"/>
      <c r="M220" s="151"/>
      <c r="N220" s="151"/>
      <c r="O220" s="178"/>
      <c r="T220" s="139"/>
    </row>
    <row r="221" spans="2:20" ht="12.75" hidden="1">
      <c r="B221" s="150"/>
      <c r="C221" s="192">
        <f>C33</f>
        <v>0</v>
      </c>
      <c r="D221" s="192"/>
      <c r="E221" s="192"/>
      <c r="F221" s="153">
        <f aca="true" t="shared" si="57" ref="F221:J225">IF($F33=F$98,$G33,0)</f>
        <v>0</v>
      </c>
      <c r="G221" s="153">
        <f t="shared" si="57"/>
        <v>0</v>
      </c>
      <c r="H221" s="153">
        <f t="shared" si="57"/>
        <v>0</v>
      </c>
      <c r="I221" s="153">
        <f t="shared" si="57"/>
        <v>0</v>
      </c>
      <c r="J221" s="153">
        <f t="shared" si="57"/>
        <v>0</v>
      </c>
      <c r="K221" s="196">
        <f>SUM(F221:J221)</f>
        <v>0</v>
      </c>
      <c r="L221" s="153"/>
      <c r="M221" s="151"/>
      <c r="N221" s="151"/>
      <c r="O221" s="178"/>
      <c r="T221" s="139"/>
    </row>
    <row r="222" spans="2:20" ht="12.75" hidden="1">
      <c r="B222" s="150"/>
      <c r="C222" s="192">
        <f>C34</f>
        <v>0</v>
      </c>
      <c r="D222" s="192"/>
      <c r="E222" s="192"/>
      <c r="F222" s="153">
        <f t="shared" si="57"/>
        <v>0</v>
      </c>
      <c r="G222" s="153">
        <f t="shared" si="57"/>
        <v>0</v>
      </c>
      <c r="H222" s="153">
        <f t="shared" si="57"/>
        <v>0</v>
      </c>
      <c r="I222" s="153">
        <f t="shared" si="57"/>
        <v>0</v>
      </c>
      <c r="J222" s="153">
        <f t="shared" si="57"/>
        <v>0</v>
      </c>
      <c r="K222" s="196">
        <f>SUM(F222:J222)</f>
        <v>0</v>
      </c>
      <c r="L222" s="153"/>
      <c r="M222" s="151"/>
      <c r="N222" s="151"/>
      <c r="O222" s="178"/>
      <c r="T222" s="139"/>
    </row>
    <row r="223" spans="2:20" ht="12.75" hidden="1">
      <c r="B223" s="150"/>
      <c r="C223" s="192">
        <f>C35</f>
        <v>0</v>
      </c>
      <c r="D223" s="192"/>
      <c r="E223" s="192"/>
      <c r="F223" s="153">
        <f t="shared" si="57"/>
        <v>0</v>
      </c>
      <c r="G223" s="153">
        <f t="shared" si="57"/>
        <v>0</v>
      </c>
      <c r="H223" s="153">
        <f t="shared" si="57"/>
        <v>0</v>
      </c>
      <c r="I223" s="153">
        <f t="shared" si="57"/>
        <v>0</v>
      </c>
      <c r="J223" s="153">
        <f t="shared" si="57"/>
        <v>0</v>
      </c>
      <c r="K223" s="196">
        <f>SUM(F223:J223)</f>
        <v>0</v>
      </c>
      <c r="L223" s="153"/>
      <c r="M223" s="151"/>
      <c r="N223" s="151"/>
      <c r="O223" s="178"/>
      <c r="T223" s="139"/>
    </row>
    <row r="224" spans="2:20" ht="12.75" hidden="1">
      <c r="B224" s="150"/>
      <c r="C224" s="192">
        <f>C36</f>
        <v>0</v>
      </c>
      <c r="D224" s="192"/>
      <c r="E224" s="192"/>
      <c r="F224" s="153">
        <f t="shared" si="57"/>
        <v>0</v>
      </c>
      <c r="G224" s="153">
        <f t="shared" si="57"/>
        <v>0</v>
      </c>
      <c r="H224" s="153">
        <f t="shared" si="57"/>
        <v>0</v>
      </c>
      <c r="I224" s="153">
        <f t="shared" si="57"/>
        <v>0</v>
      </c>
      <c r="J224" s="153">
        <f t="shared" si="57"/>
        <v>0</v>
      </c>
      <c r="K224" s="196">
        <f>SUM(F224:J224)</f>
        <v>0</v>
      </c>
      <c r="L224" s="153"/>
      <c r="M224" s="151"/>
      <c r="N224" s="151"/>
      <c r="O224" s="178"/>
      <c r="T224" s="139"/>
    </row>
    <row r="225" spans="2:20" ht="12.75" hidden="1">
      <c r="B225" s="150"/>
      <c r="C225" s="192">
        <f>C37</f>
        <v>0</v>
      </c>
      <c r="D225" s="192"/>
      <c r="E225" s="192"/>
      <c r="F225" s="153">
        <f t="shared" si="57"/>
        <v>0</v>
      </c>
      <c r="G225" s="153">
        <f t="shared" si="57"/>
        <v>0</v>
      </c>
      <c r="H225" s="153">
        <f t="shared" si="57"/>
        <v>0</v>
      </c>
      <c r="I225" s="153">
        <f t="shared" si="57"/>
        <v>0</v>
      </c>
      <c r="J225" s="153">
        <f t="shared" si="57"/>
        <v>0</v>
      </c>
      <c r="K225" s="196">
        <f>SUM(F225:J225)</f>
        <v>0</v>
      </c>
      <c r="L225" s="153"/>
      <c r="M225" s="151"/>
      <c r="N225" s="151"/>
      <c r="O225" s="178"/>
      <c r="T225" s="139"/>
    </row>
    <row r="226" spans="2:20" ht="13.5" hidden="1" thickBot="1">
      <c r="B226" s="150"/>
      <c r="C226" s="202" t="s">
        <v>128</v>
      </c>
      <c r="D226" s="192"/>
      <c r="E226" s="192"/>
      <c r="F226" s="203">
        <f aca="true" t="shared" si="58" ref="F226:K226">SUM(F221:F225)</f>
        <v>0</v>
      </c>
      <c r="G226" s="203">
        <f t="shared" si="58"/>
        <v>0</v>
      </c>
      <c r="H226" s="203">
        <f t="shared" si="58"/>
        <v>0</v>
      </c>
      <c r="I226" s="203">
        <f t="shared" si="58"/>
        <v>0</v>
      </c>
      <c r="J226" s="203">
        <f t="shared" si="58"/>
        <v>0</v>
      </c>
      <c r="K226" s="204">
        <f t="shared" si="58"/>
        <v>0</v>
      </c>
      <c r="L226" s="153"/>
      <c r="M226" s="151"/>
      <c r="N226" s="151"/>
      <c r="O226" s="178"/>
      <c r="T226" s="139"/>
    </row>
    <row r="227" spans="2:20" ht="7.5" customHeight="1" hidden="1">
      <c r="B227" s="150"/>
      <c r="C227" s="192"/>
      <c r="D227" s="192"/>
      <c r="E227" s="192"/>
      <c r="F227" s="153"/>
      <c r="G227" s="153"/>
      <c r="H227" s="153"/>
      <c r="I227" s="153"/>
      <c r="J227" s="153"/>
      <c r="K227" s="153"/>
      <c r="L227" s="153"/>
      <c r="M227" s="151"/>
      <c r="N227" s="151"/>
      <c r="O227" s="178"/>
      <c r="T227" s="139"/>
    </row>
    <row r="228" spans="2:20" ht="12.75" hidden="1">
      <c r="B228" s="150"/>
      <c r="C228" s="192" t="s">
        <v>67</v>
      </c>
      <c r="D228" s="192"/>
      <c r="E228" s="192"/>
      <c r="F228" s="153"/>
      <c r="G228" s="153"/>
      <c r="H228" s="153"/>
      <c r="I228" s="153"/>
      <c r="J228" s="153"/>
      <c r="K228" s="214"/>
      <c r="L228" s="153"/>
      <c r="M228" s="151"/>
      <c r="N228" s="151"/>
      <c r="O228" s="178"/>
      <c r="T228" s="139"/>
    </row>
    <row r="229" spans="2:20" ht="12.75" hidden="1">
      <c r="B229" s="150"/>
      <c r="C229" s="192">
        <f>C25</f>
        <v>0</v>
      </c>
      <c r="D229" s="192"/>
      <c r="E229" s="153"/>
      <c r="F229" s="153">
        <f>IF($J25="Straight Line",(($H25/(1-($F25*$I25)))),(($H25/(1-$I25)^$F25)))</f>
        <v>0</v>
      </c>
      <c r="G229" s="153">
        <f>IF(SUM($F135:F135)&gt;0,0,IF($J25="Straight Line",(($H25/(1-($F25*$I25)))),(($H25/(1-$I25)^$F25))))</f>
        <v>0</v>
      </c>
      <c r="H229" s="153">
        <f>IF(SUM($F135:G135)&gt;0,0,IF($J25="Straight Line",(($H25/(1-($F25*$I25)))),(($H25/(1-$I25)^$F25))))</f>
        <v>0</v>
      </c>
      <c r="I229" s="153">
        <f>IF(SUM($F135:H135)&gt;0,0,IF($J25="Straight Line",(($H25/(1-($F25*$I25)))),(($H25/(1-$I25)^$F25))))</f>
        <v>0</v>
      </c>
      <c r="J229" s="153">
        <f>IF(SUM($F135:I135)&gt;0,0,IF($J25="Straight Line",(($H25/(1-($F25*$I25)))),(($H25/(1-$I25)^$F25))))</f>
        <v>0</v>
      </c>
      <c r="K229" s="196">
        <f>IF(SUM($F135:J135)&gt;0,0,IF(($E25-$F25)&gt;5,-PV(J271,($E25-$F25-5),IF($J25="Straight Line",(($H25/(1-($F25*$I25)))),(($H25/(1-$I25)^$F25)))),0))</f>
        <v>0</v>
      </c>
      <c r="L229" s="153"/>
      <c r="M229" s="151"/>
      <c r="N229" s="151"/>
      <c r="O229" s="178"/>
      <c r="T229" s="139"/>
    </row>
    <row r="230" spans="2:20" ht="12.75" hidden="1">
      <c r="B230" s="150"/>
      <c r="C230" s="192">
        <f>C26</f>
        <v>0</v>
      </c>
      <c r="D230" s="192"/>
      <c r="E230" s="192"/>
      <c r="F230" s="153">
        <f>IF($J26="Straight Line",(($H26/(1-($F26*$I26)))),(($H26/(1-$I26)^$F26)))</f>
        <v>0</v>
      </c>
      <c r="G230" s="153">
        <f>IF(SUM($F136:F136)&gt;0,0,IF($J26="Straight Line",(($H26/(1-($F26*$I26)))),(($H26/(1-$I26)^$F26))))</f>
        <v>0</v>
      </c>
      <c r="H230" s="153">
        <f>IF(SUM($F136:G136)&gt;0,0,IF($J26="Straight Line",(($H26/(1-($F26*$I26)))),(($H26/(1-$I26)^$F26))))</f>
        <v>0</v>
      </c>
      <c r="I230" s="153">
        <f>IF(SUM($F136:H136)&gt;0,0,IF($J26="Straight Line",(($H26/(1-($F26*$I26)))),(($H26/(1-$I26)^$F26))))</f>
        <v>0</v>
      </c>
      <c r="J230" s="153">
        <f>IF(SUM($F136:I136)&gt;0,0,IF($J26="Straight Line",(($H26/(1-($F26*$I26)))),(($H26/(1-$I26)^$F26))))</f>
        <v>0</v>
      </c>
      <c r="K230" s="196">
        <f>IF(SUM($F136:J136)&gt;0,0,IF(($E26-$F26)&gt;5,-PV(J271,($E26-$F26-5),IF($J26="Straight Line",(($H26/(1-($F26*$I26)))),(($H26/(1-$I26)^$F26)))),0))</f>
        <v>0</v>
      </c>
      <c r="L230" s="153"/>
      <c r="M230" s="151"/>
      <c r="N230" s="151"/>
      <c r="O230" s="178"/>
      <c r="T230" s="139"/>
    </row>
    <row r="231" spans="2:20" ht="12.75" hidden="1">
      <c r="B231" s="150"/>
      <c r="C231" s="192">
        <f>C27</f>
        <v>0</v>
      </c>
      <c r="D231" s="192"/>
      <c r="E231" s="192"/>
      <c r="F231" s="153">
        <f>IF($J27="Straight Line",(($H27/(1-($F27*$I27)))),(($H27/(1-$I27)^$F27)))</f>
        <v>0</v>
      </c>
      <c r="G231" s="153">
        <f>IF(SUM($F137:F137)&gt;0,0,IF($J27="Straight Line",(($H27/(1-($F27*$I27)))),(($H27/(1-$I27)^$F27))))</f>
        <v>0</v>
      </c>
      <c r="H231" s="153">
        <f>IF(SUM($F137:G137)&gt;0,0,IF($J27="Straight Line",(($H27/(1-($F27*$I27)))),(($H27/(1-$I27)^$F27))))</f>
        <v>0</v>
      </c>
      <c r="I231" s="153">
        <f>IF(SUM($F137:H137)&gt;0,0,IF($J27="Straight Line",(($H27/(1-($F27*$I27)))),(($H27/(1-$I27)^$F27))))</f>
        <v>0</v>
      </c>
      <c r="J231" s="153">
        <f>IF(SUM($F137:I137)&gt;0,0,IF($J27="Straight Line",(($H27/(1-($F27*$I27)))),(($H27/(1-$I27)^$F27))))</f>
        <v>0</v>
      </c>
      <c r="K231" s="196">
        <f>IF(SUM($F137:J137)&gt;0,0,IF(($E27-$F27)&gt;5,-PV(J271,($E27-$F27-5),IF($J27="Straight Line",(($H27/(1-($F27*$I27)))),(($H27/(1-$I27)^$F27)))),0))</f>
        <v>0</v>
      </c>
      <c r="L231" s="153"/>
      <c r="M231" s="151"/>
      <c r="N231" s="151"/>
      <c r="O231" s="178"/>
      <c r="T231" s="139"/>
    </row>
    <row r="232" spans="2:20" ht="12.75" hidden="1">
      <c r="B232" s="150"/>
      <c r="C232" s="192">
        <f>C28</f>
        <v>0</v>
      </c>
      <c r="D232" s="192"/>
      <c r="E232" s="192"/>
      <c r="F232" s="153">
        <f>IF($J28="Straight Line",(($H28/(1-($F28*$I28)))),(($H28/(1-$I28)^$F28)))</f>
        <v>0</v>
      </c>
      <c r="G232" s="153">
        <f>IF(SUM($F138:F138)&gt;0,0,IF($J28="Straight Line",(($H28/(1-($F28*$I28)))),(($H28/(1-$I28)^$F28))))</f>
        <v>0</v>
      </c>
      <c r="H232" s="153">
        <f>IF(SUM($F138:G138)&gt;0,0,IF($J28="Straight Line",(($H28/(1-($F28*$I28)))),(($H28/(1-$I28)^$F28))))</f>
        <v>0</v>
      </c>
      <c r="I232" s="153">
        <f>IF(SUM($F138:H138)&gt;0,0,IF($J28="Straight Line",(($H28/(1-($F28*$I28)))),(($H28/(1-$I28)^$F28))))</f>
        <v>0</v>
      </c>
      <c r="J232" s="153">
        <f>IF(SUM($F138:I138)&gt;0,0,IF($J28="Straight Line",(($H28/(1-($F28*$I28)))),(($H28/(1-$I28)^$F28))))</f>
        <v>0</v>
      </c>
      <c r="K232" s="196">
        <f>IF(SUM($F138:J138)&gt;0,0,IF(($E28-$F28)&gt;5,-PV(J271,($E28-$F28-5),IF($J28="Straight Line",(($H28/(1-($F28*$I28)))),(($H28/(1-$I28)^$F28)))),0))</f>
        <v>0</v>
      </c>
      <c r="L232" s="153"/>
      <c r="M232" s="151"/>
      <c r="N232" s="151"/>
      <c r="O232" s="178"/>
      <c r="T232" s="139"/>
    </row>
    <row r="233" spans="2:20" ht="12.75" hidden="1">
      <c r="B233" s="150"/>
      <c r="C233" s="192">
        <f>C29</f>
        <v>0</v>
      </c>
      <c r="D233" s="192"/>
      <c r="E233" s="192"/>
      <c r="F233" s="153">
        <f>IF($J29="Straight Line",(($H29/(1-($F29*$I29)))),(($H29/(1-$I29)^$F29)))</f>
        <v>0</v>
      </c>
      <c r="G233" s="153">
        <f>IF(SUM($F139:F139)&gt;0,0,IF($J29="Straight Line",(($H29/(1-($F29*$I29)))),(($H29/(1-$I29)^$F29))))</f>
        <v>0</v>
      </c>
      <c r="H233" s="153">
        <f>IF(SUM($F139:G139)&gt;0,0,IF($J29="Straight Line",(($H29/(1-($F29*$I29)))),(($H29/(1-$I29)^$F29))))</f>
        <v>0</v>
      </c>
      <c r="I233" s="153">
        <f>IF(SUM($F139:H139)&gt;0,0,IF($J29="Straight Line",(($H29/(1-($F29*$I29)))),(($H29/(1-$I29)^$F29))))</f>
        <v>0</v>
      </c>
      <c r="J233" s="153">
        <f>IF(SUM($F139:I139)&gt;0,0,IF($J29="Straight Line",(($H29/(1-($F29*$I29)))),(($H29/(1-$I29)^$F29))))</f>
        <v>0</v>
      </c>
      <c r="K233" s="196">
        <f>IF(SUM($F139:J139)&gt;0,0,IF(($E29-$F29)&gt;5,-PV(J271,($E29-$F29-5),IF($J29="Straight Line",(($H29/(1-($F29*$I29)))),(($H29/(1-$I29)^$F29)))),0))</f>
        <v>0</v>
      </c>
      <c r="L233" s="153"/>
      <c r="M233" s="151"/>
      <c r="N233" s="151"/>
      <c r="O233" s="178"/>
      <c r="T233" s="139"/>
    </row>
    <row r="234" spans="2:20" ht="12.75" hidden="1">
      <c r="B234" s="150"/>
      <c r="C234" s="192"/>
      <c r="D234" s="192"/>
      <c r="E234" s="192"/>
      <c r="F234" s="198">
        <f aca="true" t="shared" si="59" ref="F234:K234">SUM(F229:F233)</f>
        <v>0</v>
      </c>
      <c r="G234" s="198">
        <f t="shared" si="59"/>
        <v>0</v>
      </c>
      <c r="H234" s="198">
        <f t="shared" si="59"/>
        <v>0</v>
      </c>
      <c r="I234" s="198">
        <f t="shared" si="59"/>
        <v>0</v>
      </c>
      <c r="J234" s="198">
        <f t="shared" si="59"/>
        <v>0</v>
      </c>
      <c r="K234" s="199">
        <f t="shared" si="59"/>
        <v>0</v>
      </c>
      <c r="L234" s="153"/>
      <c r="M234" s="151"/>
      <c r="N234" s="151"/>
      <c r="O234" s="178"/>
      <c r="T234" s="139"/>
    </row>
    <row r="235" spans="2:20" ht="6" customHeight="1" hidden="1">
      <c r="B235" s="150"/>
      <c r="C235" s="192"/>
      <c r="D235" s="192"/>
      <c r="E235" s="192"/>
      <c r="F235" s="153"/>
      <c r="G235" s="153"/>
      <c r="H235" s="153"/>
      <c r="I235" s="153"/>
      <c r="J235" s="153"/>
      <c r="K235" s="153"/>
      <c r="L235" s="153"/>
      <c r="M235" s="151"/>
      <c r="N235" s="151"/>
      <c r="O235" s="178"/>
      <c r="T235" s="139"/>
    </row>
    <row r="236" spans="2:20" ht="12.75" hidden="1">
      <c r="B236" s="150"/>
      <c r="C236" s="192" t="s">
        <v>68</v>
      </c>
      <c r="D236" s="192"/>
      <c r="E236" s="192"/>
      <c r="F236" s="153"/>
      <c r="G236" s="153"/>
      <c r="H236" s="153"/>
      <c r="I236" s="153"/>
      <c r="J236" s="153"/>
      <c r="K236" s="209" t="s">
        <v>47</v>
      </c>
      <c r="L236" s="153"/>
      <c r="M236" s="151"/>
      <c r="N236" s="151"/>
      <c r="O236" s="178"/>
      <c r="T236" s="139"/>
    </row>
    <row r="237" spans="2:20" ht="12.75" hidden="1">
      <c r="B237" s="150"/>
      <c r="C237" s="192">
        <f>C33</f>
        <v>0</v>
      </c>
      <c r="D237" s="192"/>
      <c r="E237" s="192"/>
      <c r="F237" s="153">
        <f>SUM($F221:F221)</f>
        <v>0</v>
      </c>
      <c r="G237" s="153">
        <f>IF(SUM($F142:F142)&gt;0,0,SUM($F221:G221))</f>
        <v>0</v>
      </c>
      <c r="H237" s="153">
        <f>IF(SUM($F142:G142)&gt;0,0,SUM($F221:H221))</f>
        <v>0</v>
      </c>
      <c r="I237" s="153">
        <f>IF(SUM($F142:H142)&gt;0,0,SUM($F221:I221))</f>
        <v>0</v>
      </c>
      <c r="J237" s="153">
        <f>IF(SUM($F142:I142)&gt;0,0,SUM($F221:J221))</f>
        <v>0</v>
      </c>
      <c r="K237" s="196">
        <f>IF(SUM($F142:J142)&gt;0,0,IF(($E33+$F33-1)&gt;5,-PV(J271,($E33+$F33-6),$G33),0))</f>
        <v>0</v>
      </c>
      <c r="L237" s="160"/>
      <c r="M237" s="151"/>
      <c r="N237" s="151"/>
      <c r="O237" s="178"/>
      <c r="T237" s="139"/>
    </row>
    <row r="238" spans="2:20" ht="12.75" hidden="1">
      <c r="B238" s="150"/>
      <c r="C238" s="192">
        <f>C34</f>
        <v>0</v>
      </c>
      <c r="D238" s="192"/>
      <c r="E238" s="192"/>
      <c r="F238" s="153">
        <f>SUM($F222:F222)</f>
        <v>0</v>
      </c>
      <c r="G238" s="153">
        <f>IF(SUM($F143:F143)&gt;0,0,SUM($F222:G222))</f>
        <v>0</v>
      </c>
      <c r="H238" s="153">
        <f>IF(SUM($F143:G143)&gt;0,0,SUM($F222:H222))</f>
        <v>0</v>
      </c>
      <c r="I238" s="153">
        <f>IF(SUM($F143:H143)&gt;0,0,SUM($F222:I222))</f>
        <v>0</v>
      </c>
      <c r="J238" s="153">
        <f>IF(SUM($F143:I143)&gt;0,0,SUM($F222:J222))</f>
        <v>0</v>
      </c>
      <c r="K238" s="196">
        <f>IF(SUM($F143:J143)&gt;0,0,IF(($E34+$F34-1)&gt;5,-PV(J271,($E34+$F34-6),$G34),0))</f>
        <v>0</v>
      </c>
      <c r="L238" s="153"/>
      <c r="M238" s="151"/>
      <c r="N238" s="151"/>
      <c r="O238" s="178"/>
      <c r="T238" s="139"/>
    </row>
    <row r="239" spans="2:20" ht="12.75" hidden="1">
      <c r="B239" s="150"/>
      <c r="C239" s="192">
        <f>C35</f>
        <v>0</v>
      </c>
      <c r="D239" s="192"/>
      <c r="E239" s="192"/>
      <c r="F239" s="153">
        <f>SUM($F223:F223)</f>
        <v>0</v>
      </c>
      <c r="G239" s="153">
        <f>IF(SUM($F144:F144)&gt;0,0,SUM($F223:G223))</f>
        <v>0</v>
      </c>
      <c r="H239" s="153">
        <f>IF(SUM($F144:G144)&gt;0,0,SUM($F223:H223))</f>
        <v>0</v>
      </c>
      <c r="I239" s="153">
        <f>IF(SUM($F144:H144)&gt;0,0,SUM($F223:I223))</f>
        <v>0</v>
      </c>
      <c r="J239" s="153">
        <f>IF(SUM($F144:I144)&gt;0,0,SUM($F223:J223))</f>
        <v>0</v>
      </c>
      <c r="K239" s="196">
        <f>IF(SUM($F144:J144)&gt;0,0,IF(($E35+$F35-1)&gt;5,-PV(J271,($E35+$F35-6),$G35),0))</f>
        <v>0</v>
      </c>
      <c r="L239" s="153"/>
      <c r="M239" s="151"/>
      <c r="N239" s="151"/>
      <c r="O239" s="178"/>
      <c r="T239" s="139"/>
    </row>
    <row r="240" spans="2:20" ht="12.75" hidden="1">
      <c r="B240" s="150"/>
      <c r="C240" s="192">
        <f>C36</f>
        <v>0</v>
      </c>
      <c r="D240" s="192"/>
      <c r="E240" s="192"/>
      <c r="F240" s="153">
        <f>SUM($F224:F224)</f>
        <v>0</v>
      </c>
      <c r="G240" s="153">
        <f>IF(SUM($F145:F145)&gt;0,0,SUM($F224:G224))</f>
        <v>0</v>
      </c>
      <c r="H240" s="153">
        <f>IF(SUM($F145:G145)&gt;0,0,SUM($F224:H224))</f>
        <v>0</v>
      </c>
      <c r="I240" s="153">
        <f>IF(SUM($F145:H145)&gt;0,0,SUM($F224:I224))</f>
        <v>0</v>
      </c>
      <c r="J240" s="153">
        <f>IF(SUM($F145:I145)&gt;0,0,SUM($F224:J224))</f>
        <v>0</v>
      </c>
      <c r="K240" s="196">
        <f>IF(SUM($F145:J145)&gt;0,0,IF(($E36+$F36-1)&gt;5,-PV(J271,($E36+$F36-6),$G36),0))</f>
        <v>0</v>
      </c>
      <c r="L240" s="153"/>
      <c r="M240" s="151"/>
      <c r="N240" s="151"/>
      <c r="O240" s="178"/>
      <c r="T240" s="139"/>
    </row>
    <row r="241" spans="2:20" ht="12.75" hidden="1">
      <c r="B241" s="150"/>
      <c r="C241" s="192">
        <f>C37</f>
        <v>0</v>
      </c>
      <c r="D241" s="192"/>
      <c r="E241" s="192"/>
      <c r="F241" s="153">
        <f>SUM($F225:F225)</f>
        <v>0</v>
      </c>
      <c r="G241" s="153">
        <f>IF(SUM($F146:F146)&gt;0,0,SUM($F225:G225))</f>
        <v>0</v>
      </c>
      <c r="H241" s="153">
        <f>IF(SUM($F146:G146)&gt;0,0,SUM($F225:H225))</f>
        <v>0</v>
      </c>
      <c r="I241" s="153">
        <f>IF(SUM($F146:H146)&gt;0,0,SUM($F225:I225))</f>
        <v>0</v>
      </c>
      <c r="J241" s="153">
        <f>IF(SUM($F146:I146)&gt;0,0,SUM($F225:J225))</f>
        <v>0</v>
      </c>
      <c r="K241" s="196">
        <f>IF(SUM($F146:J146)&gt;0,0,IF(($E37+$F37-1)&gt;5,-PV(J271,($E37+$F37-6),$G37),0))</f>
        <v>0</v>
      </c>
      <c r="L241" s="153"/>
      <c r="M241" s="151"/>
      <c r="N241" s="151"/>
      <c r="O241" s="178"/>
      <c r="T241" s="139"/>
    </row>
    <row r="242" spans="2:20" ht="12.75" hidden="1">
      <c r="B242" s="150"/>
      <c r="C242" s="192"/>
      <c r="D242" s="192"/>
      <c r="E242" s="192"/>
      <c r="F242" s="198">
        <f aca="true" t="shared" si="60" ref="F242:K242">SUM(F237:F241)</f>
        <v>0</v>
      </c>
      <c r="G242" s="198">
        <f t="shared" si="60"/>
        <v>0</v>
      </c>
      <c r="H242" s="198">
        <f t="shared" si="60"/>
        <v>0</v>
      </c>
      <c r="I242" s="198">
        <f t="shared" si="60"/>
        <v>0</v>
      </c>
      <c r="J242" s="198">
        <f t="shared" si="60"/>
        <v>0</v>
      </c>
      <c r="K242" s="199">
        <f t="shared" si="60"/>
        <v>0</v>
      </c>
      <c r="L242" s="153"/>
      <c r="M242" s="151"/>
      <c r="N242" s="151"/>
      <c r="O242" s="178"/>
      <c r="T242" s="139"/>
    </row>
    <row r="243" spans="2:20" ht="12.75" hidden="1">
      <c r="B243" s="150"/>
      <c r="C243" s="192" t="s">
        <v>71</v>
      </c>
      <c r="D243" s="192"/>
      <c r="E243" s="151"/>
      <c r="F243" s="198">
        <f>E216</f>
        <v>0</v>
      </c>
      <c r="G243" s="198">
        <f>F216</f>
        <v>0</v>
      </c>
      <c r="H243" s="198">
        <f>G216</f>
        <v>0</v>
      </c>
      <c r="I243" s="198">
        <f>H216</f>
        <v>0</v>
      </c>
      <c r="J243" s="198">
        <f>I216</f>
        <v>0</v>
      </c>
      <c r="K243" s="199">
        <f>J216+K216</f>
        <v>0</v>
      </c>
      <c r="L243" s="153"/>
      <c r="M243" s="151"/>
      <c r="N243" s="151"/>
      <c r="O243" s="178"/>
      <c r="T243" s="139"/>
    </row>
    <row r="244" spans="2:20" ht="3.75" customHeight="1" hidden="1">
      <c r="B244" s="150"/>
      <c r="C244" s="192"/>
      <c r="D244" s="192"/>
      <c r="E244" s="192"/>
      <c r="F244" s="153"/>
      <c r="G244" s="153"/>
      <c r="H244" s="153"/>
      <c r="I244" s="153"/>
      <c r="J244" s="153"/>
      <c r="K244" s="153"/>
      <c r="L244" s="153"/>
      <c r="M244" s="151"/>
      <c r="N244" s="151"/>
      <c r="O244" s="178"/>
      <c r="T244" s="139"/>
    </row>
    <row r="245" spans="2:20" ht="13.5" hidden="1" thickBot="1">
      <c r="B245" s="150"/>
      <c r="C245" s="192" t="s">
        <v>73</v>
      </c>
      <c r="D245" s="192"/>
      <c r="E245" s="192"/>
      <c r="F245" s="203">
        <f>(F234*Assumptions!$U$31)+F242+F243</f>
        <v>0</v>
      </c>
      <c r="G245" s="203">
        <f>(G234*Assumptions!$U$31)+G242+G243</f>
        <v>0</v>
      </c>
      <c r="H245" s="203">
        <f>(H234*Assumptions!$U$31)+H242+H243</f>
        <v>0</v>
      </c>
      <c r="I245" s="203">
        <f>(I234*Assumptions!$U$31)+I242+I243</f>
        <v>0</v>
      </c>
      <c r="J245" s="203">
        <f>(J234*Assumptions!$U$31)+J242+J243</f>
        <v>0</v>
      </c>
      <c r="K245" s="204">
        <f>(K234*Assumptions!$U$31)+K242+K243</f>
        <v>0</v>
      </c>
      <c r="L245" s="153"/>
      <c r="M245" s="151"/>
      <c r="N245" s="151"/>
      <c r="O245" s="178"/>
      <c r="T245" s="139"/>
    </row>
    <row r="246" spans="2:20" ht="12.75" hidden="1">
      <c r="B246" s="150"/>
      <c r="C246" s="192" t="s">
        <v>74</v>
      </c>
      <c r="D246" s="192"/>
      <c r="E246" s="192"/>
      <c r="F246" s="157">
        <f>AVERAGE(F245:G245)</f>
        <v>0</v>
      </c>
      <c r="G246" s="157">
        <f>AVERAGE(G245:H245)</f>
        <v>0</v>
      </c>
      <c r="H246" s="157">
        <f>AVERAGE(H245:I245)</f>
        <v>0</v>
      </c>
      <c r="I246" s="157">
        <f>AVERAGE(I245:J245)</f>
        <v>0</v>
      </c>
      <c r="J246" s="157">
        <f>AVERAGE(J245:K245)</f>
        <v>0</v>
      </c>
      <c r="K246" s="215"/>
      <c r="L246" s="153"/>
      <c r="M246" s="151"/>
      <c r="N246" s="151"/>
      <c r="O246" s="178"/>
      <c r="T246" s="139"/>
    </row>
    <row r="247" spans="2:20" ht="12.75" hidden="1">
      <c r="B247" s="150"/>
      <c r="C247" s="216" t="s">
        <v>83</v>
      </c>
      <c r="D247" s="192"/>
      <c r="E247" s="192"/>
      <c r="F247" s="153">
        <f>IF(Assumptions!$C$28="Beg",F245,F246)</f>
        <v>0</v>
      </c>
      <c r="G247" s="153">
        <f>IF(Assumptions!$C$28="Beg",G245,G246)</f>
        <v>0</v>
      </c>
      <c r="H247" s="153">
        <f>IF(Assumptions!$C$28="Beg",H245,H246)</f>
        <v>0</v>
      </c>
      <c r="I247" s="153">
        <f>IF(Assumptions!$C$28="Beg",I245,I246)</f>
        <v>0</v>
      </c>
      <c r="J247" s="153">
        <f>IF(Assumptions!$C$28="Beg",J245,J246)</f>
        <v>0</v>
      </c>
      <c r="K247" s="196">
        <f>K245</f>
        <v>0</v>
      </c>
      <c r="L247" s="192"/>
      <c r="M247" s="151"/>
      <c r="N247" s="151"/>
      <c r="O247" s="178"/>
      <c r="T247" s="139"/>
    </row>
    <row r="248" spans="2:20" ht="6" customHeight="1" hidden="1">
      <c r="B248" s="206"/>
      <c r="C248" s="217"/>
      <c r="D248" s="207"/>
      <c r="E248" s="207"/>
      <c r="F248" s="184"/>
      <c r="G248" s="184"/>
      <c r="H248" s="184"/>
      <c r="I248" s="184"/>
      <c r="J248" s="184"/>
      <c r="K248" s="207"/>
      <c r="L248" s="207"/>
      <c r="M248" s="183"/>
      <c r="N248" s="183"/>
      <c r="O248" s="185"/>
      <c r="T248" s="139"/>
    </row>
    <row r="249" spans="2:20" ht="6" customHeight="1" hidden="1">
      <c r="B249" s="143"/>
      <c r="C249" s="172"/>
      <c r="D249" s="208"/>
      <c r="E249" s="208"/>
      <c r="F249" s="155"/>
      <c r="G249" s="155"/>
      <c r="H249" s="155"/>
      <c r="I249" s="155"/>
      <c r="J249" s="155"/>
      <c r="K249" s="208"/>
      <c r="L249" s="208"/>
      <c r="M249" s="143"/>
      <c r="N249" s="143"/>
      <c r="O249" s="143"/>
      <c r="T249" s="139"/>
    </row>
    <row r="250" spans="2:20" ht="16.5" customHeight="1" collapsed="1">
      <c r="B250" s="189"/>
      <c r="C250" s="218" t="s">
        <v>131</v>
      </c>
      <c r="D250" s="191"/>
      <c r="E250" s="191"/>
      <c r="F250" s="190"/>
      <c r="G250" s="190"/>
      <c r="H250" s="190"/>
      <c r="I250" s="190"/>
      <c r="J250" s="190"/>
      <c r="K250" s="191"/>
      <c r="L250" s="191"/>
      <c r="M250" s="147"/>
      <c r="N250" s="147"/>
      <c r="O250" s="176"/>
      <c r="T250" s="139" t="b">
        <v>0</v>
      </c>
    </row>
    <row r="251" spans="2:20" ht="12.75" hidden="1">
      <c r="B251" s="150"/>
      <c r="C251" s="219" t="s">
        <v>132</v>
      </c>
      <c r="D251" s="192"/>
      <c r="E251" s="164">
        <f aca="true" t="shared" si="61" ref="E251:J251">E5</f>
        <v>2010</v>
      </c>
      <c r="F251" s="164">
        <f t="shared" si="61"/>
        <v>2011</v>
      </c>
      <c r="G251" s="164">
        <f t="shared" si="61"/>
        <v>2012</v>
      </c>
      <c r="H251" s="164">
        <f t="shared" si="61"/>
        <v>2013</v>
      </c>
      <c r="I251" s="164">
        <f t="shared" si="61"/>
        <v>2014</v>
      </c>
      <c r="J251" s="164">
        <f t="shared" si="61"/>
        <v>2015</v>
      </c>
      <c r="K251" s="209" t="s">
        <v>47</v>
      </c>
      <c r="L251" s="192"/>
      <c r="M251" s="151"/>
      <c r="N251" s="151"/>
      <c r="O251" s="178"/>
      <c r="T251" s="139"/>
    </row>
    <row r="252" spans="2:20" ht="12.75" hidden="1">
      <c r="B252" s="150"/>
      <c r="C252" s="216">
        <f>C33</f>
        <v>0</v>
      </c>
      <c r="D252" s="192"/>
      <c r="E252" s="192"/>
      <c r="F252" s="153">
        <f aca="true" t="shared" si="62" ref="F252:K256">F237*$N33</f>
        <v>0</v>
      </c>
      <c r="G252" s="153">
        <f t="shared" si="62"/>
        <v>0</v>
      </c>
      <c r="H252" s="153">
        <f t="shared" si="62"/>
        <v>0</v>
      </c>
      <c r="I252" s="153">
        <f t="shared" si="62"/>
        <v>0</v>
      </c>
      <c r="J252" s="153">
        <f t="shared" si="62"/>
        <v>0</v>
      </c>
      <c r="K252" s="196">
        <f t="shared" si="62"/>
        <v>0</v>
      </c>
      <c r="L252" s="192"/>
      <c r="M252" s="151"/>
      <c r="N252" s="151"/>
      <c r="O252" s="178"/>
      <c r="T252" s="139"/>
    </row>
    <row r="253" spans="2:20" ht="12.75" hidden="1">
      <c r="B253" s="150"/>
      <c r="C253" s="216">
        <f>C34</f>
        <v>0</v>
      </c>
      <c r="D253" s="192"/>
      <c r="E253" s="192"/>
      <c r="F253" s="153">
        <f t="shared" si="62"/>
        <v>0</v>
      </c>
      <c r="G253" s="153">
        <f t="shared" si="62"/>
        <v>0</v>
      </c>
      <c r="H253" s="153">
        <f t="shared" si="62"/>
        <v>0</v>
      </c>
      <c r="I253" s="153">
        <f t="shared" si="62"/>
        <v>0</v>
      </c>
      <c r="J253" s="153">
        <f t="shared" si="62"/>
        <v>0</v>
      </c>
      <c r="K253" s="196">
        <f t="shared" si="62"/>
        <v>0</v>
      </c>
      <c r="L253" s="192"/>
      <c r="M253" s="151"/>
      <c r="N253" s="151"/>
      <c r="O253" s="178"/>
      <c r="T253" s="139"/>
    </row>
    <row r="254" spans="2:20" ht="12.75" hidden="1">
      <c r="B254" s="150"/>
      <c r="C254" s="216">
        <f>C35</f>
        <v>0</v>
      </c>
      <c r="D254" s="192"/>
      <c r="E254" s="192"/>
      <c r="F254" s="153">
        <f t="shared" si="62"/>
        <v>0</v>
      </c>
      <c r="G254" s="153">
        <f t="shared" si="62"/>
        <v>0</v>
      </c>
      <c r="H254" s="153">
        <f t="shared" si="62"/>
        <v>0</v>
      </c>
      <c r="I254" s="153">
        <f t="shared" si="62"/>
        <v>0</v>
      </c>
      <c r="J254" s="153">
        <f t="shared" si="62"/>
        <v>0</v>
      </c>
      <c r="K254" s="196">
        <f t="shared" si="62"/>
        <v>0</v>
      </c>
      <c r="L254" s="192"/>
      <c r="M254" s="151"/>
      <c r="N254" s="151"/>
      <c r="O254" s="178"/>
      <c r="T254" s="139"/>
    </row>
    <row r="255" spans="2:20" ht="12.75" hidden="1">
      <c r="B255" s="150"/>
      <c r="C255" s="216">
        <f>C36</f>
        <v>0</v>
      </c>
      <c r="D255" s="192"/>
      <c r="E255" s="192"/>
      <c r="F255" s="153">
        <f t="shared" si="62"/>
        <v>0</v>
      </c>
      <c r="G255" s="153">
        <f t="shared" si="62"/>
        <v>0</v>
      </c>
      <c r="H255" s="153">
        <f t="shared" si="62"/>
        <v>0</v>
      </c>
      <c r="I255" s="153">
        <f t="shared" si="62"/>
        <v>0</v>
      </c>
      <c r="J255" s="153">
        <f t="shared" si="62"/>
        <v>0</v>
      </c>
      <c r="K255" s="196">
        <f t="shared" si="62"/>
        <v>0</v>
      </c>
      <c r="L255" s="192"/>
      <c r="M255" s="151"/>
      <c r="N255" s="151"/>
      <c r="O255" s="178"/>
      <c r="T255" s="139"/>
    </row>
    <row r="256" spans="2:20" ht="12.75" hidden="1">
      <c r="B256" s="150"/>
      <c r="C256" s="216">
        <f>C37</f>
        <v>0</v>
      </c>
      <c r="D256" s="192"/>
      <c r="E256" s="192"/>
      <c r="F256" s="153">
        <f t="shared" si="62"/>
        <v>0</v>
      </c>
      <c r="G256" s="153">
        <f t="shared" si="62"/>
        <v>0</v>
      </c>
      <c r="H256" s="153">
        <f t="shared" si="62"/>
        <v>0</v>
      </c>
      <c r="I256" s="153">
        <f t="shared" si="62"/>
        <v>0</v>
      </c>
      <c r="J256" s="153">
        <f t="shared" si="62"/>
        <v>0</v>
      </c>
      <c r="K256" s="196">
        <f t="shared" si="62"/>
        <v>0</v>
      </c>
      <c r="L256" s="192"/>
      <c r="M256" s="151"/>
      <c r="N256" s="151"/>
      <c r="O256" s="178"/>
      <c r="T256" s="139"/>
    </row>
    <row r="257" spans="2:20" ht="12.75" hidden="1">
      <c r="B257" s="150"/>
      <c r="C257" s="216"/>
      <c r="D257" s="192"/>
      <c r="E257" s="192"/>
      <c r="F257" s="198">
        <f aca="true" t="shared" si="63" ref="F257:K257">SUM(F252:F256)</f>
        <v>0</v>
      </c>
      <c r="G257" s="198">
        <f t="shared" si="63"/>
        <v>0</v>
      </c>
      <c r="H257" s="198">
        <f t="shared" si="63"/>
        <v>0</v>
      </c>
      <c r="I257" s="198">
        <f t="shared" si="63"/>
        <v>0</v>
      </c>
      <c r="J257" s="198">
        <f t="shared" si="63"/>
        <v>0</v>
      </c>
      <c r="K257" s="199">
        <f t="shared" si="63"/>
        <v>0</v>
      </c>
      <c r="L257" s="192"/>
      <c r="M257" s="151"/>
      <c r="N257" s="151"/>
      <c r="O257" s="178"/>
      <c r="T257" s="139"/>
    </row>
    <row r="258" spans="2:20" ht="12.75" hidden="1">
      <c r="B258" s="150"/>
      <c r="C258" s="219" t="s">
        <v>133</v>
      </c>
      <c r="D258" s="192"/>
      <c r="E258" s="192"/>
      <c r="F258" s="153"/>
      <c r="G258" s="153"/>
      <c r="H258" s="153"/>
      <c r="I258" s="153"/>
      <c r="J258" s="153"/>
      <c r="K258" s="192"/>
      <c r="L258" s="192"/>
      <c r="M258" s="151"/>
      <c r="N258" s="151"/>
      <c r="O258" s="178"/>
      <c r="T258" s="139"/>
    </row>
    <row r="259" spans="2:20" ht="12.75" hidden="1">
      <c r="B259" s="150"/>
      <c r="C259" s="216">
        <f>C33</f>
        <v>0</v>
      </c>
      <c r="D259" s="192"/>
      <c r="E259" s="192"/>
      <c r="F259" s="153">
        <f aca="true" t="shared" si="64" ref="F259:K263">F237*(1-$N33)</f>
        <v>0</v>
      </c>
      <c r="G259" s="153">
        <f t="shared" si="64"/>
        <v>0</v>
      </c>
      <c r="H259" s="153">
        <f t="shared" si="64"/>
        <v>0</v>
      </c>
      <c r="I259" s="153">
        <f t="shared" si="64"/>
        <v>0</v>
      </c>
      <c r="J259" s="153">
        <f t="shared" si="64"/>
        <v>0</v>
      </c>
      <c r="K259" s="196">
        <f t="shared" si="64"/>
        <v>0</v>
      </c>
      <c r="L259" s="192"/>
      <c r="M259" s="151"/>
      <c r="N259" s="151"/>
      <c r="O259" s="178"/>
      <c r="T259" s="139"/>
    </row>
    <row r="260" spans="2:20" ht="12.75" hidden="1">
      <c r="B260" s="150"/>
      <c r="C260" s="216">
        <f>C34</f>
        <v>0</v>
      </c>
      <c r="D260" s="192"/>
      <c r="E260" s="192"/>
      <c r="F260" s="153">
        <f t="shared" si="64"/>
        <v>0</v>
      </c>
      <c r="G260" s="153">
        <f t="shared" si="64"/>
        <v>0</v>
      </c>
      <c r="H260" s="153">
        <f t="shared" si="64"/>
        <v>0</v>
      </c>
      <c r="I260" s="153">
        <f t="shared" si="64"/>
        <v>0</v>
      </c>
      <c r="J260" s="153">
        <f t="shared" si="64"/>
        <v>0</v>
      </c>
      <c r="K260" s="196">
        <f t="shared" si="64"/>
        <v>0</v>
      </c>
      <c r="L260" s="192"/>
      <c r="M260" s="151"/>
      <c r="N260" s="151"/>
      <c r="O260" s="178"/>
      <c r="T260" s="139"/>
    </row>
    <row r="261" spans="2:20" ht="12.75" hidden="1">
      <c r="B261" s="150"/>
      <c r="C261" s="216">
        <f>C35</f>
        <v>0</v>
      </c>
      <c r="D261" s="192"/>
      <c r="E261" s="192"/>
      <c r="F261" s="153">
        <f t="shared" si="64"/>
        <v>0</v>
      </c>
      <c r="G261" s="153">
        <f t="shared" si="64"/>
        <v>0</v>
      </c>
      <c r="H261" s="153">
        <f t="shared" si="64"/>
        <v>0</v>
      </c>
      <c r="I261" s="153">
        <f t="shared" si="64"/>
        <v>0</v>
      </c>
      <c r="J261" s="153">
        <f t="shared" si="64"/>
        <v>0</v>
      </c>
      <c r="K261" s="196">
        <f t="shared" si="64"/>
        <v>0</v>
      </c>
      <c r="L261" s="192"/>
      <c r="M261" s="151"/>
      <c r="N261" s="151"/>
      <c r="O261" s="178"/>
      <c r="T261" s="139"/>
    </row>
    <row r="262" spans="2:20" ht="12.75" hidden="1">
      <c r="B262" s="150"/>
      <c r="C262" s="216">
        <f>C36</f>
        <v>0</v>
      </c>
      <c r="D262" s="192"/>
      <c r="E262" s="192"/>
      <c r="F262" s="153">
        <f t="shared" si="64"/>
        <v>0</v>
      </c>
      <c r="G262" s="153">
        <f t="shared" si="64"/>
        <v>0</v>
      </c>
      <c r="H262" s="153">
        <f t="shared" si="64"/>
        <v>0</v>
      </c>
      <c r="I262" s="153">
        <f t="shared" si="64"/>
        <v>0</v>
      </c>
      <c r="J262" s="153">
        <f t="shared" si="64"/>
        <v>0</v>
      </c>
      <c r="K262" s="196">
        <f t="shared" si="64"/>
        <v>0</v>
      </c>
      <c r="L262" s="192"/>
      <c r="M262" s="151"/>
      <c r="N262" s="151"/>
      <c r="O262" s="178"/>
      <c r="T262" s="139"/>
    </row>
    <row r="263" spans="2:20" ht="12.75" hidden="1">
      <c r="B263" s="150"/>
      <c r="C263" s="216">
        <f>C37</f>
        <v>0</v>
      </c>
      <c r="D263" s="192"/>
      <c r="E263" s="192"/>
      <c r="F263" s="153">
        <f t="shared" si="64"/>
        <v>0</v>
      </c>
      <c r="G263" s="153">
        <f t="shared" si="64"/>
        <v>0</v>
      </c>
      <c r="H263" s="153">
        <f t="shared" si="64"/>
        <v>0</v>
      </c>
      <c r="I263" s="153">
        <f t="shared" si="64"/>
        <v>0</v>
      </c>
      <c r="J263" s="153">
        <f t="shared" si="64"/>
        <v>0</v>
      </c>
      <c r="K263" s="196">
        <f t="shared" si="64"/>
        <v>0</v>
      </c>
      <c r="L263" s="192"/>
      <c r="M263" s="151"/>
      <c r="N263" s="151"/>
      <c r="O263" s="178"/>
      <c r="T263" s="139"/>
    </row>
    <row r="264" spans="2:20" ht="12.75" hidden="1">
      <c r="B264" s="150"/>
      <c r="C264" s="216"/>
      <c r="D264" s="192"/>
      <c r="E264" s="192"/>
      <c r="F264" s="198">
        <f aca="true" t="shared" si="65" ref="F264:K264">SUM(F259:F263)</f>
        <v>0</v>
      </c>
      <c r="G264" s="198">
        <f t="shared" si="65"/>
        <v>0</v>
      </c>
      <c r="H264" s="198">
        <f t="shared" si="65"/>
        <v>0</v>
      </c>
      <c r="I264" s="198">
        <f t="shared" si="65"/>
        <v>0</v>
      </c>
      <c r="J264" s="198">
        <f t="shared" si="65"/>
        <v>0</v>
      </c>
      <c r="K264" s="199">
        <f t="shared" si="65"/>
        <v>0</v>
      </c>
      <c r="L264" s="192"/>
      <c r="M264" s="151"/>
      <c r="N264" s="151"/>
      <c r="O264" s="178"/>
      <c r="T264" s="139"/>
    </row>
    <row r="265" spans="2:20" ht="4.5" customHeight="1" hidden="1">
      <c r="B265" s="150"/>
      <c r="C265" s="219"/>
      <c r="D265" s="192"/>
      <c r="E265" s="192"/>
      <c r="F265" s="153"/>
      <c r="G265" s="153"/>
      <c r="H265" s="153"/>
      <c r="I265" s="153"/>
      <c r="J265" s="153"/>
      <c r="K265" s="153"/>
      <c r="L265" s="192"/>
      <c r="M265" s="151"/>
      <c r="N265" s="151"/>
      <c r="O265" s="178"/>
      <c r="T265" s="139"/>
    </row>
    <row r="266" spans="2:20" ht="13.5" hidden="1" thickBot="1">
      <c r="B266" s="150"/>
      <c r="C266" s="202" t="s">
        <v>136</v>
      </c>
      <c r="D266" s="151"/>
      <c r="E266" s="151"/>
      <c r="F266" s="203">
        <f aca="true" t="shared" si="66" ref="F266:K266">F264*Kd</f>
        <v>0</v>
      </c>
      <c r="G266" s="203">
        <f t="shared" si="66"/>
        <v>0</v>
      </c>
      <c r="H266" s="203">
        <f t="shared" si="66"/>
        <v>0</v>
      </c>
      <c r="I266" s="203">
        <f t="shared" si="66"/>
        <v>0</v>
      </c>
      <c r="J266" s="203">
        <f t="shared" si="66"/>
        <v>0</v>
      </c>
      <c r="K266" s="204">
        <f t="shared" si="66"/>
        <v>0</v>
      </c>
      <c r="L266" s="192"/>
      <c r="M266" s="151"/>
      <c r="N266" s="151"/>
      <c r="O266" s="178"/>
      <c r="T266" s="139"/>
    </row>
    <row r="267" spans="2:20" ht="7.5" customHeight="1" hidden="1">
      <c r="B267" s="150"/>
      <c r="C267" s="151"/>
      <c r="D267" s="151"/>
      <c r="E267" s="151"/>
      <c r="F267" s="151"/>
      <c r="G267" s="151"/>
      <c r="H267" s="151"/>
      <c r="I267" s="151"/>
      <c r="J267" s="151"/>
      <c r="K267" s="192"/>
      <c r="L267" s="192"/>
      <c r="M267" s="151"/>
      <c r="N267" s="151"/>
      <c r="O267" s="178"/>
      <c r="T267" s="139"/>
    </row>
    <row r="268" spans="2:20" ht="12.75" hidden="1">
      <c r="B268" s="150"/>
      <c r="C268" s="219" t="s">
        <v>134</v>
      </c>
      <c r="D268" s="192"/>
      <c r="E268" s="153">
        <f>Assumptions!C20</f>
        <v>10000</v>
      </c>
      <c r="F268" s="153">
        <f aca="true" t="shared" si="67" ref="F268:K268">$E268+F257</f>
        <v>10000</v>
      </c>
      <c r="G268" s="153">
        <f t="shared" si="67"/>
        <v>10000</v>
      </c>
      <c r="H268" s="153">
        <f t="shared" si="67"/>
        <v>10000</v>
      </c>
      <c r="I268" s="153">
        <f t="shared" si="67"/>
        <v>10000</v>
      </c>
      <c r="J268" s="153">
        <f t="shared" si="67"/>
        <v>10000</v>
      </c>
      <c r="K268" s="196">
        <f t="shared" si="67"/>
        <v>10000</v>
      </c>
      <c r="L268" s="192"/>
      <c r="M268" s="151"/>
      <c r="N268" s="151"/>
      <c r="O268" s="178"/>
      <c r="T268" s="139"/>
    </row>
    <row r="269" spans="2:20" ht="12.75" hidden="1">
      <c r="B269" s="150"/>
      <c r="C269" s="219" t="s">
        <v>135</v>
      </c>
      <c r="D269" s="192"/>
      <c r="E269" s="153">
        <f>Assumptions!C23</f>
        <v>9000</v>
      </c>
      <c r="F269" s="153">
        <f aca="true" t="shared" si="68" ref="F269:K269">$E269+F264</f>
        <v>9000</v>
      </c>
      <c r="G269" s="153">
        <f t="shared" si="68"/>
        <v>9000</v>
      </c>
      <c r="H269" s="153">
        <f t="shared" si="68"/>
        <v>9000</v>
      </c>
      <c r="I269" s="153">
        <f t="shared" si="68"/>
        <v>9000</v>
      </c>
      <c r="J269" s="153">
        <f t="shared" si="68"/>
        <v>9000</v>
      </c>
      <c r="K269" s="196">
        <f t="shared" si="68"/>
        <v>9000</v>
      </c>
      <c r="L269" s="192"/>
      <c r="M269" s="151"/>
      <c r="N269" s="151"/>
      <c r="O269" s="178"/>
      <c r="T269" s="139"/>
    </row>
    <row r="270" spans="2:20" ht="6" customHeight="1" hidden="1">
      <c r="B270" s="150"/>
      <c r="C270" s="216"/>
      <c r="D270" s="192"/>
      <c r="E270" s="192"/>
      <c r="F270" s="153"/>
      <c r="G270" s="153"/>
      <c r="H270" s="153"/>
      <c r="I270" s="153"/>
      <c r="J270" s="153"/>
      <c r="K270" s="192"/>
      <c r="L270" s="192"/>
      <c r="M270" s="151"/>
      <c r="N270" s="151"/>
      <c r="O270" s="178"/>
      <c r="T270" s="139"/>
    </row>
    <row r="271" spans="2:20" ht="12.75" hidden="1">
      <c r="B271" s="150"/>
      <c r="C271" s="216" t="s">
        <v>137</v>
      </c>
      <c r="D271" s="192"/>
      <c r="E271" s="220">
        <f aca="true" t="shared" si="69" ref="E271:K271">((E268/SUM(E268:E269))*Ke)+((E269/SUM(E268:E269))*Kd*(1-Tax))</f>
        <v>0.10116315789473684</v>
      </c>
      <c r="F271" s="220">
        <f t="shared" si="69"/>
        <v>0.10116315789473684</v>
      </c>
      <c r="G271" s="220">
        <f t="shared" si="69"/>
        <v>0.10116315789473684</v>
      </c>
      <c r="H271" s="220">
        <f t="shared" si="69"/>
        <v>0.10116315789473684</v>
      </c>
      <c r="I271" s="220">
        <f t="shared" si="69"/>
        <v>0.10116315789473684</v>
      </c>
      <c r="J271" s="220">
        <f t="shared" si="69"/>
        <v>0.10116315789473684</v>
      </c>
      <c r="K271" s="221">
        <f t="shared" si="69"/>
        <v>0.10116315789473684</v>
      </c>
      <c r="L271" s="192"/>
      <c r="M271" s="151"/>
      <c r="N271" s="151"/>
      <c r="O271" s="178"/>
      <c r="T271" s="139"/>
    </row>
    <row r="272" spans="2:20" ht="7.5" customHeight="1" hidden="1">
      <c r="B272" s="150"/>
      <c r="C272" s="192"/>
      <c r="D272" s="192"/>
      <c r="E272" s="192"/>
      <c r="F272" s="222"/>
      <c r="G272" s="222"/>
      <c r="H272" s="222"/>
      <c r="I272" s="222"/>
      <c r="J272" s="222"/>
      <c r="K272" s="222"/>
      <c r="L272" s="192"/>
      <c r="M272" s="151"/>
      <c r="N272" s="151"/>
      <c r="O272" s="178"/>
      <c r="T272" s="139"/>
    </row>
    <row r="273" spans="2:20" ht="12.75" hidden="1">
      <c r="B273" s="150"/>
      <c r="C273" s="192" t="s">
        <v>84</v>
      </c>
      <c r="D273" s="192"/>
      <c r="E273" s="192"/>
      <c r="F273" s="223">
        <f>1/(1+F271)^(F$98-(IF(Assumptions!$C$26="Mid",0.5,0)))</f>
        <v>0.9081306369819472</v>
      </c>
      <c r="G273" s="223">
        <f>1/(1+G271)^(G$98-(IF(Assumptions!$C$26="Mid",0.5,0)))</f>
        <v>0.8247012538252372</v>
      </c>
      <c r="H273" s="223">
        <f>1/(1+H271)^(H$98-(IF(Assumptions!$C$26="Mid",0.5,0)))</f>
        <v>0.7489364749561231</v>
      </c>
      <c r="I273" s="223">
        <f>1/(1+I271)^(I$98-(IF(Assumptions!$C$26="Mid",0.5,0)))</f>
        <v>0.6801321580609183</v>
      </c>
      <c r="J273" s="223">
        <f>1/(1+J271)^(J$98-(IF(Assumptions!$C$26="Mid",0.5,0)))</f>
        <v>0.6176488499317683</v>
      </c>
      <c r="K273" s="224">
        <f>1/(1+K271)^(6-(IF(Assumptions!$C$26="Mid",0.5,0)))</f>
        <v>0.5609058435197037</v>
      </c>
      <c r="L273" s="192"/>
      <c r="M273" s="151"/>
      <c r="N273" s="151"/>
      <c r="O273" s="178"/>
      <c r="T273" s="139"/>
    </row>
    <row r="274" spans="2:20" ht="6" customHeight="1" hidden="1">
      <c r="B274" s="206"/>
      <c r="C274" s="207"/>
      <c r="D274" s="207"/>
      <c r="E274" s="207"/>
      <c r="F274" s="225"/>
      <c r="G274" s="225"/>
      <c r="H274" s="225"/>
      <c r="I274" s="225"/>
      <c r="J274" s="225"/>
      <c r="K274" s="225"/>
      <c r="L274" s="207"/>
      <c r="M274" s="183"/>
      <c r="N274" s="183"/>
      <c r="O274" s="185"/>
      <c r="T274" s="139"/>
    </row>
    <row r="275" spans="2:20" ht="6" customHeight="1" hidden="1">
      <c r="B275" s="143"/>
      <c r="C275" s="208"/>
      <c r="D275" s="208"/>
      <c r="E275" s="208"/>
      <c r="F275" s="226"/>
      <c r="G275" s="226"/>
      <c r="H275" s="226"/>
      <c r="I275" s="226"/>
      <c r="J275" s="226"/>
      <c r="K275" s="208"/>
      <c r="L275" s="208"/>
      <c r="M275" s="143"/>
      <c r="N275" s="143"/>
      <c r="O275" s="143"/>
      <c r="T275" s="139"/>
    </row>
    <row r="276" spans="2:20" ht="16.5" customHeight="1" collapsed="1">
      <c r="B276" s="189"/>
      <c r="C276" s="146" t="s">
        <v>57</v>
      </c>
      <c r="D276" s="191"/>
      <c r="E276" s="227"/>
      <c r="F276" s="227"/>
      <c r="G276" s="227"/>
      <c r="H276" s="227"/>
      <c r="I276" s="227"/>
      <c r="J276" s="227"/>
      <c r="K276" s="191"/>
      <c r="L276" s="191"/>
      <c r="M276" s="147"/>
      <c r="N276" s="147"/>
      <c r="O276" s="176"/>
      <c r="T276" s="139" t="b">
        <v>0</v>
      </c>
    </row>
    <row r="277" spans="2:15" ht="12.75" hidden="1">
      <c r="B277" s="150"/>
      <c r="C277" s="192" t="s">
        <v>58</v>
      </c>
      <c r="D277" s="192"/>
      <c r="E277" s="192"/>
      <c r="F277" s="153">
        <f>SUM(F7:F8)</f>
        <v>0</v>
      </c>
      <c r="G277" s="153">
        <f>SUM(G7:G8)</f>
        <v>0</v>
      </c>
      <c r="H277" s="153">
        <f>SUM(H7:H8)</f>
        <v>0</v>
      </c>
      <c r="I277" s="153">
        <f>SUM(I7:I8)</f>
        <v>0</v>
      </c>
      <c r="J277" s="153">
        <f>SUM(J7:J8)</f>
        <v>0</v>
      </c>
      <c r="K277" s="210"/>
      <c r="L277" s="192"/>
      <c r="M277" s="151"/>
      <c r="N277" s="151"/>
      <c r="O277" s="178"/>
    </row>
    <row r="278" spans="2:15" ht="12.75" hidden="1">
      <c r="B278" s="150"/>
      <c r="C278" s="192" t="s">
        <v>59</v>
      </c>
      <c r="D278" s="192"/>
      <c r="E278" s="153">
        <f aca="true" t="shared" si="70" ref="E278:J278">SUM(E15:E16)+SUM(E19:E21)</f>
        <v>0</v>
      </c>
      <c r="F278" s="153">
        <f t="shared" si="70"/>
        <v>0</v>
      </c>
      <c r="G278" s="153">
        <f t="shared" si="70"/>
        <v>0</v>
      </c>
      <c r="H278" s="153">
        <f t="shared" si="70"/>
        <v>0</v>
      </c>
      <c r="I278" s="153">
        <f t="shared" si="70"/>
        <v>0</v>
      </c>
      <c r="J278" s="153">
        <f t="shared" si="70"/>
        <v>0</v>
      </c>
      <c r="K278" s="210"/>
      <c r="L278" s="192"/>
      <c r="M278" s="151"/>
      <c r="N278" s="151"/>
      <c r="O278" s="178"/>
    </row>
    <row r="279" spans="2:15" ht="12.75" hidden="1">
      <c r="B279" s="150"/>
      <c r="C279" s="192" t="s">
        <v>60</v>
      </c>
      <c r="D279" s="192"/>
      <c r="E279" s="192"/>
      <c r="F279" s="153">
        <f>F130</f>
        <v>0</v>
      </c>
      <c r="G279" s="153">
        <f>G130</f>
        <v>0</v>
      </c>
      <c r="H279" s="153">
        <f>H130</f>
        <v>0</v>
      </c>
      <c r="I279" s="153">
        <f>I130</f>
        <v>0</v>
      </c>
      <c r="J279" s="153">
        <f>J130</f>
        <v>0</v>
      </c>
      <c r="K279" s="196">
        <f>L130</f>
        <v>0</v>
      </c>
      <c r="L279" s="192"/>
      <c r="M279" s="151"/>
      <c r="N279" s="151"/>
      <c r="O279" s="178"/>
    </row>
    <row r="280" spans="2:15" ht="12.75" hidden="1">
      <c r="B280" s="150"/>
      <c r="C280" s="192" t="s">
        <v>61</v>
      </c>
      <c r="D280" s="192"/>
      <c r="E280" s="228"/>
      <c r="F280" s="157">
        <f aca="true" t="shared" si="71" ref="F280:K280">F166</f>
        <v>0</v>
      </c>
      <c r="G280" s="157">
        <f t="shared" si="71"/>
        <v>0</v>
      </c>
      <c r="H280" s="157">
        <f t="shared" si="71"/>
        <v>0</v>
      </c>
      <c r="I280" s="157">
        <f t="shared" si="71"/>
        <v>0</v>
      </c>
      <c r="J280" s="157">
        <f t="shared" si="71"/>
        <v>0</v>
      </c>
      <c r="K280" s="229">
        <f t="shared" si="71"/>
        <v>0</v>
      </c>
      <c r="L280" s="192"/>
      <c r="M280" s="151"/>
      <c r="N280" s="151"/>
      <c r="O280" s="178"/>
    </row>
    <row r="281" spans="2:15" ht="12.75" hidden="1">
      <c r="B281" s="150"/>
      <c r="C281" s="192" t="s">
        <v>62</v>
      </c>
      <c r="D281" s="192"/>
      <c r="E281" s="153">
        <f aca="true" t="shared" si="72" ref="E281:K281">E277-E278-E279+E280</f>
        <v>0</v>
      </c>
      <c r="F281" s="153">
        <f t="shared" si="72"/>
        <v>0</v>
      </c>
      <c r="G281" s="153">
        <f t="shared" si="72"/>
        <v>0</v>
      </c>
      <c r="H281" s="153">
        <f t="shared" si="72"/>
        <v>0</v>
      </c>
      <c r="I281" s="153">
        <f t="shared" si="72"/>
        <v>0</v>
      </c>
      <c r="J281" s="153">
        <f t="shared" si="72"/>
        <v>0</v>
      </c>
      <c r="K281" s="196">
        <f t="shared" si="72"/>
        <v>0</v>
      </c>
      <c r="L281" s="192"/>
      <c r="M281" s="151"/>
      <c r="N281" s="151"/>
      <c r="O281" s="178"/>
    </row>
    <row r="282" spans="2:15" ht="3.75" customHeight="1" hidden="1">
      <c r="B282" s="150"/>
      <c r="C282" s="192"/>
      <c r="D282" s="192"/>
      <c r="E282" s="192"/>
      <c r="F282" s="192"/>
      <c r="G282" s="192"/>
      <c r="H282" s="192"/>
      <c r="I282" s="192"/>
      <c r="J282" s="192"/>
      <c r="K282" s="192"/>
      <c r="L282" s="192"/>
      <c r="M282" s="151"/>
      <c r="N282" s="151"/>
      <c r="O282" s="178"/>
    </row>
    <row r="283" spans="2:15" ht="13.5" hidden="1" thickBot="1">
      <c r="B283" s="150"/>
      <c r="C283" s="192" t="s">
        <v>63</v>
      </c>
      <c r="D283" s="192"/>
      <c r="E283" s="230">
        <f aca="true" t="shared" si="73" ref="E283:K283">-E281*Tax</f>
        <v>0</v>
      </c>
      <c r="F283" s="230">
        <f t="shared" si="73"/>
        <v>0</v>
      </c>
      <c r="G283" s="230">
        <f t="shared" si="73"/>
        <v>0</v>
      </c>
      <c r="H283" s="230">
        <f t="shared" si="73"/>
        <v>0</v>
      </c>
      <c r="I283" s="230">
        <f t="shared" si="73"/>
        <v>0</v>
      </c>
      <c r="J283" s="230">
        <f t="shared" si="73"/>
        <v>0</v>
      </c>
      <c r="K283" s="231">
        <f t="shared" si="73"/>
        <v>0</v>
      </c>
      <c r="L283" s="192"/>
      <c r="M283" s="151"/>
      <c r="N283" s="151"/>
      <c r="O283" s="178"/>
    </row>
    <row r="284" spans="2:15" ht="12.75" hidden="1">
      <c r="B284" s="150"/>
      <c r="C284" s="192" t="s">
        <v>64</v>
      </c>
      <c r="D284" s="151"/>
      <c r="E284" s="232">
        <f>IF(E283&gt;0,0,E283)</f>
        <v>0</v>
      </c>
      <c r="F284" s="232">
        <f>IF(SUM($E283:F283)&gt;0,0,(SUM($E283:F283)-SUM($E284:E284)))</f>
        <v>0</v>
      </c>
      <c r="G284" s="232">
        <f>IF(SUM($E283:G283)&gt;0,0,(SUM($E283:G283)-SUM($E284:F284)))</f>
        <v>0</v>
      </c>
      <c r="H284" s="232">
        <f>IF(SUM($E283:H283)&gt;0,0,(SUM($E283:H283)-SUM($E284:G284)))</f>
        <v>0</v>
      </c>
      <c r="I284" s="232">
        <f>IF(SUM($E283:I283)&gt;0,0,(SUM($E283:I283)-SUM($E284:H284)))</f>
        <v>0</v>
      </c>
      <c r="J284" s="232">
        <f>IF(SUM($E283:J283)&gt;0,0,(SUM($E283:J283)-SUM($E284:I284)))</f>
        <v>0</v>
      </c>
      <c r="K284" s="233">
        <f>((SUM($E283:K283)-SUM($E284:J284)))</f>
        <v>0</v>
      </c>
      <c r="L284" s="151"/>
      <c r="M284" s="151"/>
      <c r="N284" s="151"/>
      <c r="O284" s="178"/>
    </row>
    <row r="285" spans="2:15" ht="12.75" hidden="1">
      <c r="B285" s="150"/>
      <c r="C285" s="216" t="s">
        <v>83</v>
      </c>
      <c r="D285" s="151"/>
      <c r="E285" s="234">
        <f>IF(Assumptions!$U$20=1,E284,E283)</f>
        <v>0</v>
      </c>
      <c r="F285" s="234">
        <f>IF(Assumptions!$U$20=1,F284,F283)</f>
        <v>0</v>
      </c>
      <c r="G285" s="234">
        <f>IF(Assumptions!$U$20=1,G284,G283)</f>
        <v>0</v>
      </c>
      <c r="H285" s="234">
        <f>IF(Assumptions!$U$20=1,H284,H283)</f>
        <v>0</v>
      </c>
      <c r="I285" s="234">
        <f>IF(Assumptions!$U$20=1,I284,I283)</f>
        <v>0</v>
      </c>
      <c r="J285" s="234">
        <f>IF(Assumptions!$U$20=1,J284,J283)</f>
        <v>0</v>
      </c>
      <c r="K285" s="234">
        <f>IF(Assumptions!$U$20=1,K284,K283)</f>
        <v>0</v>
      </c>
      <c r="L285" s="151"/>
      <c r="M285" s="151"/>
      <c r="N285" s="151"/>
      <c r="O285" s="178"/>
    </row>
    <row r="286" spans="2:15" ht="11.25" customHeight="1" collapsed="1">
      <c r="B286" s="206"/>
      <c r="C286" s="183"/>
      <c r="D286" s="183"/>
      <c r="E286" s="183"/>
      <c r="F286" s="183"/>
      <c r="G286" s="183"/>
      <c r="H286" s="183"/>
      <c r="I286" s="183"/>
      <c r="J286" s="183"/>
      <c r="K286" s="183"/>
      <c r="L286" s="183"/>
      <c r="M286" s="183"/>
      <c r="N286" s="183"/>
      <c r="O286" s="185"/>
    </row>
  </sheetData>
  <sheetProtection/>
  <mergeCells count="18">
    <mergeCell ref="B2:O2"/>
    <mergeCell ref="B40:O40"/>
    <mergeCell ref="L21:N21"/>
    <mergeCell ref="L4:N4"/>
    <mergeCell ref="L15:N15"/>
    <mergeCell ref="L16:N16"/>
    <mergeCell ref="L19:N19"/>
    <mergeCell ref="L20:N20"/>
    <mergeCell ref="L7:N7"/>
    <mergeCell ref="L8:N8"/>
    <mergeCell ref="E31:I31"/>
    <mergeCell ref="J31:K31"/>
    <mergeCell ref="L31:M31"/>
    <mergeCell ref="L11:N11"/>
    <mergeCell ref="L12:N12"/>
    <mergeCell ref="K23:M23"/>
    <mergeCell ref="E23:G23"/>
    <mergeCell ref="H23:J23"/>
  </mergeCells>
  <dataValidations count="3">
    <dataValidation type="list" allowBlank="1" showInputMessage="1" showErrorMessage="1" sqref="K33:K37 I30 M25:M29 L30 J25:J29 M33:M37">
      <formula1>$T$24:$T$25</formula1>
    </dataValidation>
    <dataValidation type="list" allowBlank="1" showInputMessage="1" showErrorMessage="1" sqref="F33:F37">
      <formula1>$T$33:$T$37</formula1>
    </dataValidation>
    <dataValidation type="list" allowBlank="1" showInputMessage="1" showErrorMessage="1" sqref="K19:K21">
      <formula1>$T$33:$T$42</formula1>
    </dataValidation>
  </dataValidations>
  <printOptions horizontalCentered="1"/>
  <pageMargins left="0.35433070866141736" right="0.35433070866141736" top="0.3937007874015748" bottom="0.3937007874015748" header="0.5118110236220472" footer="0.5118110236220472"/>
  <pageSetup horizontalDpi="200" verticalDpi="200" orientation="landscape" r:id="rId3"/>
  <headerFooter alignWithMargins="0">
    <oddFooter>&amp;LPage &amp;P of &amp;N&amp;C&amp;F&amp;" "&amp;A&amp;R&amp;D</oddFooter>
  </headerFooter>
  <rowBreaks count="8" manualBreakCount="8">
    <brk id="39" max="255" man="1"/>
    <brk id="77" max="255" man="1"/>
    <brk id="96" max="255" man="1"/>
    <brk id="132" max="255" man="1"/>
    <brk id="166" max="255" man="1"/>
    <brk id="185" max="255" man="1"/>
    <brk id="218" max="255" man="1"/>
    <brk id="249" max="255" man="1"/>
  </rowBreaks>
  <drawing r:id="rId2"/>
  <legacyDrawing r:id="rId1"/>
</worksheet>
</file>

<file path=xl/worksheets/sheet4.xml><?xml version="1.0" encoding="utf-8"?>
<worksheet xmlns="http://schemas.openxmlformats.org/spreadsheetml/2006/main" xmlns:r="http://schemas.openxmlformats.org/officeDocument/2006/relationships">
  <sheetPr codeName="Sheet3"/>
  <dimension ref="B2:AE128"/>
  <sheetViews>
    <sheetView showGridLines="0" workbookViewId="0" topLeftCell="A1">
      <selection activeCell="B6" sqref="B6"/>
    </sheetView>
  </sheetViews>
  <sheetFormatPr defaultColWidth="9.140625" defaultRowHeight="12.75"/>
  <cols>
    <col min="1" max="1" width="1.28515625" style="0" customWidth="1"/>
    <col min="2" max="2" width="8.00390625" style="0" customWidth="1"/>
    <col min="3" max="3" width="24.00390625" style="0" customWidth="1"/>
    <col min="4" max="4" width="1.1484375" style="0" customWidth="1"/>
    <col min="5" max="5" width="9.00390625" style="0" customWidth="1"/>
    <col min="13" max="14" width="10.28125" style="0" customWidth="1"/>
    <col min="15" max="15" width="0.85546875" style="0" customWidth="1"/>
    <col min="17" max="32" width="9.140625" style="61" customWidth="1"/>
  </cols>
  <sheetData>
    <row r="1" ht="5.25" customHeight="1"/>
    <row r="2" spans="2:15" ht="15">
      <c r="B2" s="311" t="str">
        <f>IF(Assumptions!T4=1,"FINANCIAL RESULTS FOR "&amp;TEXT(Assumptions!D5,"0"),"FINANCIAL RESULTS FOR DIFFERENCE BETWEEN "&amp;TEXT(Assumptions!D6,"0")&amp;" AND "&amp;TEXT(Assumptions!D5,"0"))</f>
        <v>FINANCIAL RESULTS FOR DIFFERENCE BETWEEN Status Quo AND New Investment</v>
      </c>
      <c r="C2" s="312"/>
      <c r="D2" s="312"/>
      <c r="E2" s="312"/>
      <c r="F2" s="312"/>
      <c r="G2" s="312"/>
      <c r="H2" s="312"/>
      <c r="I2" s="312"/>
      <c r="J2" s="312"/>
      <c r="K2" s="312"/>
      <c r="L2" s="312"/>
      <c r="M2" s="312"/>
      <c r="N2" s="312"/>
      <c r="O2" s="313"/>
    </row>
    <row r="3" spans="2:15" ht="6" customHeight="1">
      <c r="B3" s="143"/>
      <c r="C3" s="143"/>
      <c r="D3" s="143"/>
      <c r="E3" s="144"/>
      <c r="F3" s="144"/>
      <c r="G3" s="144"/>
      <c r="H3" s="144"/>
      <c r="I3" s="144"/>
      <c r="J3" s="144"/>
      <c r="K3" s="143"/>
      <c r="L3" s="143"/>
      <c r="M3" s="143"/>
      <c r="N3" s="143"/>
      <c r="O3" s="143"/>
    </row>
    <row r="4" spans="2:31" ht="12.75">
      <c r="B4" s="173" t="str">
        <f>Assumptions!F8</f>
        <v>$000</v>
      </c>
      <c r="C4" s="146" t="s">
        <v>162</v>
      </c>
      <c r="D4" s="147"/>
      <c r="E4" s="148">
        <f>F4-1</f>
        <v>2010</v>
      </c>
      <c r="F4" s="148">
        <f>Assumptions!C8</f>
        <v>2011</v>
      </c>
      <c r="G4" s="148">
        <f>F4+1</f>
        <v>2012</v>
      </c>
      <c r="H4" s="148">
        <f>G4+1</f>
        <v>2013</v>
      </c>
      <c r="I4" s="148">
        <f>H4+1</f>
        <v>2014</v>
      </c>
      <c r="J4" s="148">
        <f>I4+1</f>
        <v>2015</v>
      </c>
      <c r="K4" s="149" t="s">
        <v>6</v>
      </c>
      <c r="L4" s="143"/>
      <c r="M4" s="143"/>
      <c r="N4" s="143"/>
      <c r="O4" s="143"/>
      <c r="S4" s="63"/>
      <c r="T4" s="64"/>
      <c r="U4" s="65"/>
      <c r="V4" s="63" t="s">
        <v>178</v>
      </c>
      <c r="W4" s="66"/>
      <c r="X4" s="66"/>
      <c r="Y4" s="63" t="s">
        <v>179</v>
      </c>
      <c r="Z4" s="63" t="s">
        <v>180</v>
      </c>
      <c r="AA4" s="67"/>
      <c r="AB4" s="67" t="s">
        <v>204</v>
      </c>
      <c r="AC4" s="67"/>
      <c r="AD4" s="67" t="s">
        <v>53</v>
      </c>
      <c r="AE4" s="67"/>
    </row>
    <row r="5" spans="2:31" ht="12.75">
      <c r="B5" s="150"/>
      <c r="C5" s="151"/>
      <c r="D5" s="151"/>
      <c r="E5" s="151"/>
      <c r="F5" s="151"/>
      <c r="G5" s="151"/>
      <c r="H5" s="151"/>
      <c r="I5" s="151"/>
      <c r="J5" s="151"/>
      <c r="K5" s="152"/>
      <c r="L5" s="143"/>
      <c r="M5" s="143"/>
      <c r="N5" s="143"/>
      <c r="O5" s="143"/>
      <c r="S5" s="63" t="s">
        <v>175</v>
      </c>
      <c r="T5" s="64" t="s">
        <v>176</v>
      </c>
      <c r="U5" s="65" t="s">
        <v>177</v>
      </c>
      <c r="V5" s="63" t="s">
        <v>181</v>
      </c>
      <c r="W5" s="66"/>
      <c r="X5" s="66"/>
      <c r="Y5" s="63" t="s">
        <v>176</v>
      </c>
      <c r="Z5" s="63" t="s">
        <v>177</v>
      </c>
      <c r="AA5" s="67"/>
      <c r="AB5" s="67" t="s">
        <v>176</v>
      </c>
      <c r="AC5" s="67" t="s">
        <v>177</v>
      </c>
      <c r="AD5" s="67" t="s">
        <v>176</v>
      </c>
      <c r="AE5" s="67" t="s">
        <v>177</v>
      </c>
    </row>
    <row r="6" spans="2:31" ht="12.75">
      <c r="B6" s="150"/>
      <c r="C6" s="151" t="s">
        <v>138</v>
      </c>
      <c r="D6" s="151"/>
      <c r="E6" s="153">
        <f>After!E44-Before!E44</f>
        <v>0</v>
      </c>
      <c r="F6" s="153">
        <f>After!F44-Before!F44</f>
        <v>0</v>
      </c>
      <c r="G6" s="153">
        <f>After!G44-Before!G44</f>
        <v>0</v>
      </c>
      <c r="H6" s="153">
        <f>After!H44-Before!H44</f>
        <v>0</v>
      </c>
      <c r="I6" s="153">
        <f>After!I44-Before!I44</f>
        <v>0</v>
      </c>
      <c r="J6" s="153">
        <f>After!J44-Before!J44</f>
        <v>0</v>
      </c>
      <c r="K6" s="154">
        <f>SUM(E6:J6)</f>
        <v>0</v>
      </c>
      <c r="L6" s="155"/>
      <c r="M6" s="143"/>
      <c r="N6" s="143"/>
      <c r="O6" s="143"/>
      <c r="S6" s="68">
        <v>0</v>
      </c>
      <c r="T6" s="69">
        <f>E33</f>
        <v>0</v>
      </c>
      <c r="U6" s="69">
        <f>E54</f>
        <v>0</v>
      </c>
      <c r="V6" s="68"/>
      <c r="W6" s="66"/>
      <c r="X6" s="70"/>
      <c r="Y6" s="71"/>
      <c r="Z6" s="71"/>
      <c r="AA6" s="72">
        <f>E4</f>
        <v>2010</v>
      </c>
      <c r="AB6" s="73">
        <f>SUM(T$6:T6)</f>
        <v>0</v>
      </c>
      <c r="AC6" s="73">
        <f>SUM(U$6:U6)</f>
        <v>0</v>
      </c>
      <c r="AD6" s="73">
        <f aca="true" t="shared" si="0" ref="AD6:AE11">T6</f>
        <v>0</v>
      </c>
      <c r="AE6" s="73">
        <f t="shared" si="0"/>
        <v>0</v>
      </c>
    </row>
    <row r="7" spans="2:31" ht="12.75">
      <c r="B7" s="156" t="s">
        <v>139</v>
      </c>
      <c r="C7" s="151" t="s">
        <v>140</v>
      </c>
      <c r="D7" s="151"/>
      <c r="E7" s="157">
        <f>After!E45-Before!E45</f>
        <v>0</v>
      </c>
      <c r="F7" s="157">
        <f>After!F45-Before!F45</f>
        <v>0</v>
      </c>
      <c r="G7" s="157">
        <f>After!G45-Before!G45</f>
        <v>0</v>
      </c>
      <c r="H7" s="157">
        <f>After!H45-Before!H45</f>
        <v>0</v>
      </c>
      <c r="I7" s="157">
        <f>After!I45-Before!I45</f>
        <v>0</v>
      </c>
      <c r="J7" s="237">
        <f>After!J45-Before!J45</f>
        <v>0</v>
      </c>
      <c r="K7" s="158">
        <f>SUM(E7:J7)</f>
        <v>0</v>
      </c>
      <c r="L7" s="155"/>
      <c r="M7" s="143"/>
      <c r="N7" s="143"/>
      <c r="O7" s="143"/>
      <c r="S7" s="68">
        <v>1</v>
      </c>
      <c r="T7" s="69">
        <f>F33</f>
        <v>0</v>
      </c>
      <c r="U7" s="69">
        <f>F54</f>
        <v>0</v>
      </c>
      <c r="V7" s="74"/>
      <c r="W7" s="66"/>
      <c r="X7" s="70"/>
      <c r="Y7" s="71"/>
      <c r="Z7" s="71"/>
      <c r="AA7" s="72">
        <f>F4</f>
        <v>2011</v>
      </c>
      <c r="AB7" s="73">
        <f>SUM(T$6:T7)</f>
        <v>0</v>
      </c>
      <c r="AC7" s="73">
        <f>SUM(U$6:U7)</f>
        <v>0</v>
      </c>
      <c r="AD7" s="73">
        <f t="shared" si="0"/>
        <v>0</v>
      </c>
      <c r="AE7" s="73">
        <f t="shared" si="0"/>
        <v>0</v>
      </c>
    </row>
    <row r="8" spans="2:31" ht="12.75">
      <c r="B8" s="156"/>
      <c r="C8" s="151" t="s">
        <v>141</v>
      </c>
      <c r="D8" s="151"/>
      <c r="E8" s="153">
        <f aca="true" t="shared" si="1" ref="E8:J8">SUM(E6:E7)</f>
        <v>0</v>
      </c>
      <c r="F8" s="153">
        <f t="shared" si="1"/>
        <v>0</v>
      </c>
      <c r="G8" s="153">
        <f t="shared" si="1"/>
        <v>0</v>
      </c>
      <c r="H8" s="153">
        <f t="shared" si="1"/>
        <v>0</v>
      </c>
      <c r="I8" s="153">
        <f t="shared" si="1"/>
        <v>0</v>
      </c>
      <c r="J8" s="153">
        <f t="shared" si="1"/>
        <v>0</v>
      </c>
      <c r="K8" s="154">
        <f>SUM(E8:J8)</f>
        <v>0</v>
      </c>
      <c r="L8" s="155"/>
      <c r="M8" s="143"/>
      <c r="N8" s="143"/>
      <c r="O8" s="143"/>
      <c r="S8" s="68">
        <v>2</v>
      </c>
      <c r="T8" s="69">
        <f>G33</f>
        <v>0</v>
      </c>
      <c r="U8" s="69">
        <f>G54</f>
        <v>0</v>
      </c>
      <c r="V8" s="74" t="e">
        <f>(T8-T7)/T7</f>
        <v>#DIV/0!</v>
      </c>
      <c r="W8" s="66"/>
      <c r="X8" s="70"/>
      <c r="Y8" s="71"/>
      <c r="Z8" s="71"/>
      <c r="AA8" s="72">
        <f>G4</f>
        <v>2012</v>
      </c>
      <c r="AB8" s="73">
        <f>SUM(T$6:T8)</f>
        <v>0</v>
      </c>
      <c r="AC8" s="73">
        <f>SUM(U$6:U8)</f>
        <v>0</v>
      </c>
      <c r="AD8" s="73">
        <f t="shared" si="0"/>
        <v>0</v>
      </c>
      <c r="AE8" s="73">
        <f t="shared" si="0"/>
        <v>0</v>
      </c>
    </row>
    <row r="9" spans="2:31" ht="12.75">
      <c r="B9" s="156"/>
      <c r="C9" s="151"/>
      <c r="D9" s="151"/>
      <c r="E9" s="153"/>
      <c r="F9" s="153"/>
      <c r="G9" s="153"/>
      <c r="H9" s="153"/>
      <c r="I9" s="153"/>
      <c r="J9" s="153"/>
      <c r="K9" s="154"/>
      <c r="L9" s="155"/>
      <c r="M9" s="143"/>
      <c r="N9" s="143"/>
      <c r="O9" s="143"/>
      <c r="S9" s="68">
        <v>3</v>
      </c>
      <c r="T9" s="69">
        <f>H33</f>
        <v>0</v>
      </c>
      <c r="U9" s="69">
        <f>H54</f>
        <v>0</v>
      </c>
      <c r="V9" s="74" t="e">
        <f>(T9-T8)/T8</f>
        <v>#DIV/0!</v>
      </c>
      <c r="W9" s="63" t="s">
        <v>5</v>
      </c>
      <c r="X9" s="70"/>
      <c r="Y9" s="71"/>
      <c r="Z9" s="71"/>
      <c r="AA9" s="72">
        <f>H4</f>
        <v>2013</v>
      </c>
      <c r="AB9" s="73">
        <f>SUM(T$6:T9)</f>
        <v>0</v>
      </c>
      <c r="AC9" s="73">
        <f>SUM(U$6:U9)</f>
        <v>0</v>
      </c>
      <c r="AD9" s="73">
        <f t="shared" si="0"/>
        <v>0</v>
      </c>
      <c r="AE9" s="73">
        <f t="shared" si="0"/>
        <v>0</v>
      </c>
    </row>
    <row r="10" spans="2:31" ht="12.75">
      <c r="B10" s="156" t="s">
        <v>139</v>
      </c>
      <c r="C10" s="151" t="s">
        <v>142</v>
      </c>
      <c r="D10" s="151"/>
      <c r="E10" s="153">
        <f>After!E48-Before!E48</f>
        <v>0</v>
      </c>
      <c r="F10" s="153">
        <f>After!F48-Before!F48</f>
        <v>0</v>
      </c>
      <c r="G10" s="153">
        <f>After!G48-Before!G48</f>
        <v>0</v>
      </c>
      <c r="H10" s="153">
        <f>After!H48-Before!H48</f>
        <v>0</v>
      </c>
      <c r="I10" s="153">
        <f>After!I48-Before!I48</f>
        <v>0</v>
      </c>
      <c r="J10" s="153">
        <f>After!J48-Before!J48</f>
        <v>0</v>
      </c>
      <c r="K10" s="154">
        <f>SUM(E10:J10)</f>
        <v>0</v>
      </c>
      <c r="L10" s="155"/>
      <c r="M10" s="143"/>
      <c r="N10" s="143"/>
      <c r="O10" s="143"/>
      <c r="S10" s="68">
        <v>4</v>
      </c>
      <c r="T10" s="69">
        <f>I33</f>
        <v>0</v>
      </c>
      <c r="U10" s="69">
        <f>I54</f>
        <v>0</v>
      </c>
      <c r="V10" s="74" t="e">
        <f>(T10-T9)/T9</f>
        <v>#DIV/0!</v>
      </c>
      <c r="W10" s="63" t="s">
        <v>182</v>
      </c>
      <c r="X10" s="70"/>
      <c r="Y10" s="71"/>
      <c r="Z10" s="71"/>
      <c r="AA10" s="72">
        <f>I4</f>
        <v>2014</v>
      </c>
      <c r="AB10" s="73">
        <f>SUM(T$6:T10)</f>
        <v>0</v>
      </c>
      <c r="AC10" s="73">
        <f>SUM(U$6:U10)</f>
        <v>0</v>
      </c>
      <c r="AD10" s="73">
        <f t="shared" si="0"/>
        <v>0</v>
      </c>
      <c r="AE10" s="73">
        <f t="shared" si="0"/>
        <v>0</v>
      </c>
    </row>
    <row r="11" spans="2:31" ht="12.75">
      <c r="B11" s="156" t="s">
        <v>139</v>
      </c>
      <c r="C11" s="151" t="s">
        <v>143</v>
      </c>
      <c r="D11" s="151"/>
      <c r="E11" s="157">
        <f>After!E49-Before!E49</f>
        <v>0</v>
      </c>
      <c r="F11" s="157">
        <f>After!F49-Before!F49</f>
        <v>0</v>
      </c>
      <c r="G11" s="157">
        <f>After!G49-Before!G49</f>
        <v>0</v>
      </c>
      <c r="H11" s="157">
        <f>After!H49-Before!H49</f>
        <v>0</v>
      </c>
      <c r="I11" s="157">
        <f>After!I49-Before!I49</f>
        <v>0</v>
      </c>
      <c r="J11" s="237">
        <f>After!J49-Before!J49</f>
        <v>0</v>
      </c>
      <c r="K11" s="158">
        <f>SUM(E11:J11)</f>
        <v>0</v>
      </c>
      <c r="L11" s="155"/>
      <c r="M11" s="143"/>
      <c r="N11" s="143"/>
      <c r="O11" s="143"/>
      <c r="S11" s="68">
        <v>5</v>
      </c>
      <c r="T11" s="69">
        <f>J33</f>
        <v>0</v>
      </c>
      <c r="U11" s="69">
        <f>J54</f>
        <v>0</v>
      </c>
      <c r="V11" s="74" t="e">
        <f>(T11-T10)/T10</f>
        <v>#DIV/0!</v>
      </c>
      <c r="W11" s="75">
        <f>IF(Assumptions!C35="",V11,Assumptions!C35)</f>
        <v>0.02</v>
      </c>
      <c r="X11" s="70"/>
      <c r="Y11" s="71"/>
      <c r="Z11" s="71"/>
      <c r="AA11" s="72">
        <f>J4</f>
        <v>2015</v>
      </c>
      <c r="AB11" s="73">
        <f>SUM(T$6:T11)</f>
        <v>0</v>
      </c>
      <c r="AC11" s="73">
        <f>SUM(U$6:U11)</f>
        <v>0</v>
      </c>
      <c r="AD11" s="73">
        <f t="shared" si="0"/>
        <v>0</v>
      </c>
      <c r="AE11" s="73">
        <f t="shared" si="0"/>
        <v>0</v>
      </c>
    </row>
    <row r="12" spans="2:31" ht="12.75">
      <c r="B12" s="156"/>
      <c r="C12" s="151" t="s">
        <v>144</v>
      </c>
      <c r="D12" s="151"/>
      <c r="E12" s="153">
        <f aca="true" t="shared" si="2" ref="E12:J12">E8+SUM(E10:E11)</f>
        <v>0</v>
      </c>
      <c r="F12" s="153">
        <f t="shared" si="2"/>
        <v>0</v>
      </c>
      <c r="G12" s="153">
        <f t="shared" si="2"/>
        <v>0</v>
      </c>
      <c r="H12" s="153">
        <f t="shared" si="2"/>
        <v>0</v>
      </c>
      <c r="I12" s="153">
        <f t="shared" si="2"/>
        <v>0</v>
      </c>
      <c r="J12" s="153">
        <f t="shared" si="2"/>
        <v>0</v>
      </c>
      <c r="K12" s="154">
        <f>SUM(E12:J12)</f>
        <v>0</v>
      </c>
      <c r="L12" s="155"/>
      <c r="M12" s="143"/>
      <c r="N12" s="143"/>
      <c r="O12" s="143"/>
      <c r="S12" s="63">
        <v>6</v>
      </c>
      <c r="T12" s="64">
        <f>IF(ISERROR($V12),0,MAX((T11*(1+$V12))-Assumptions!$C$40,0))</f>
        <v>0</v>
      </c>
      <c r="U12" s="64">
        <f>IF(ISERROR($V12),0,MAX((U11*(1+$V12))-(Assumptions!$C$40*aftCOC*(MIN((S12-5),1/aftCOC))),0))</f>
        <v>0</v>
      </c>
      <c r="V12" s="76">
        <f>IF(S12&lt;=Assumptions!$C$37,$W$11-($W$11*(S12-S$11)/(Assumptions!$C$37-5)),-(((S12-Assumptions!$C$37)/(Assumptions!$C$38-Assumptions!$C$37))^5))</f>
        <v>0.019</v>
      </c>
      <c r="W12" s="66"/>
      <c r="X12" s="70"/>
      <c r="Y12" s="71">
        <f>T12/(1+aftCOC)^IF(Assumptions!$C$26="End",$S12,$S12-0.5)</f>
        <v>0</v>
      </c>
      <c r="Z12" s="71">
        <f>U12/(1+aftCOC)^IF(Assumptions!$C$26="End",$S12,$S12-0.5)</f>
        <v>0</v>
      </c>
      <c r="AA12" s="67"/>
      <c r="AB12" s="67"/>
      <c r="AC12" s="67"/>
      <c r="AD12" s="73">
        <f>IF(Assumptions!$T$33=TRUE,IF(Assumptions!$T$35=1,((AD11*(1+$W$11)-Assumptions!$C$40)),T12),"")</f>
        <v>0</v>
      </c>
      <c r="AE12" s="73">
        <f>IF(Assumptions!$T$33=TRUE,IF(Assumptions!$T$35=1,((AE11*(1+$W$11))-(Assumptions!$C$40*aftCOC*(MIN((S12-5),1/aftCOC)))),U12),"")</f>
        <v>0</v>
      </c>
    </row>
    <row r="13" spans="2:31" ht="12.75">
      <c r="B13" s="156"/>
      <c r="C13" s="159"/>
      <c r="D13" s="151"/>
      <c r="E13" s="160"/>
      <c r="F13" s="160"/>
      <c r="G13" s="160"/>
      <c r="H13" s="160"/>
      <c r="I13" s="160"/>
      <c r="J13" s="160"/>
      <c r="K13" s="161"/>
      <c r="L13" s="155"/>
      <c r="M13" s="143"/>
      <c r="N13" s="143"/>
      <c r="O13" s="143"/>
      <c r="S13" s="63">
        <v>7</v>
      </c>
      <c r="T13" s="64">
        <f>IF(ISERROR($V13),0,MAX(((T12+Assumptions!$C$40)*(1+$V13))-Assumptions!$C$40,0))</f>
        <v>0</v>
      </c>
      <c r="U13" s="64">
        <f>IF(ISERROR($V13),0,MAX(((U12+(Assumptions!$C$40*aftCOC*(MIN((S13-5),1/aftCOC))))*(1+$V13))-(Assumptions!$C$40*aftCOC*(MIN((S13-5),1/aftCOC))),0))</f>
        <v>0</v>
      </c>
      <c r="V13" s="76">
        <f>IF(S13&lt;=Assumptions!$C$37,$W$11-($W$11*(S13-S$11)/(Assumptions!$C$37-5)),-(((S13-Assumptions!$C$37)/(Assumptions!$C$38-Assumptions!$C$37))^5))</f>
        <v>0.018000000000000002</v>
      </c>
      <c r="W13" s="66"/>
      <c r="X13" s="70"/>
      <c r="Y13" s="71">
        <f>T13/(1+aftCOC)^IF(Assumptions!$C$26="End",$S13,$S13-0.5)</f>
        <v>0</v>
      </c>
      <c r="Z13" s="71">
        <f>U13/(1+aftCOC)^IF(Assumptions!$C$26="End",$S13,$S13-0.5)</f>
        <v>0</v>
      </c>
      <c r="AA13" s="67"/>
      <c r="AB13" s="67"/>
      <c r="AC13" s="67"/>
      <c r="AD13" s="73">
        <f>IF(Assumptions!$T$33=TRUE,IF(Assumptions!$T$35=1,(((AD12+Assumptions!$C$40)*(1+$W$11)-Assumptions!$C$40)),T13),"")</f>
        <v>0</v>
      </c>
      <c r="AE13" s="73">
        <f>IF(Assumptions!$T$33=TRUE,IF(Assumptions!$T$35=1,(((AE12+(Assumptions!$C$40*aftCOC*(MIN((S13-5),1/aftCOC))))*(1+$W$11))-(Assumptions!$C$40*aftCOC*(MIN((S13-5),1/aftCOC)))),U13),"")</f>
        <v>0</v>
      </c>
    </row>
    <row r="14" spans="2:31" ht="12.75">
      <c r="B14" s="156" t="s">
        <v>139</v>
      </c>
      <c r="C14" s="162" t="s">
        <v>136</v>
      </c>
      <c r="D14" s="151"/>
      <c r="E14" s="153">
        <f>After!E52-Before!E52</f>
        <v>0</v>
      </c>
      <c r="F14" s="153">
        <f>After!F52-Before!F52</f>
        <v>0</v>
      </c>
      <c r="G14" s="153">
        <f>After!G52-Before!G52</f>
        <v>0</v>
      </c>
      <c r="H14" s="153">
        <f>After!H52-Before!H52</f>
        <v>0</v>
      </c>
      <c r="I14" s="153">
        <f>After!I52-Before!I52</f>
        <v>0</v>
      </c>
      <c r="J14" s="153">
        <f>After!J52-Before!J52</f>
        <v>0</v>
      </c>
      <c r="K14" s="154">
        <f>SUM(E14:J14)</f>
        <v>0</v>
      </c>
      <c r="L14" s="155"/>
      <c r="M14" s="143"/>
      <c r="N14" s="143"/>
      <c r="O14" s="143"/>
      <c r="S14" s="63">
        <v>8</v>
      </c>
      <c r="T14" s="64">
        <f>IF(ISERROR($V14),0,MAX(((T13+Assumptions!$C$40)*(1+$V14))-Assumptions!$C$40,0))</f>
        <v>0</v>
      </c>
      <c r="U14" s="64">
        <f>IF(ISERROR($V14),0,MAX(((U13+(Assumptions!$C$40*aftCOC*(MIN((S14-5),1/aftCOC))))*(1+$V14))-(Assumptions!$C$40*aftCOC*(MIN((S14-5),1/aftCOC))),0))</f>
        <v>0</v>
      </c>
      <c r="V14" s="76">
        <f>IF(S14&lt;=Assumptions!$C$37,$W$11-($W$11*(S14-S$11)/(Assumptions!$C$37-5)),-(((S14-Assumptions!$C$37)/(Assumptions!$C$38-Assumptions!$C$37))^5))</f>
        <v>0.017</v>
      </c>
      <c r="W14" s="66"/>
      <c r="X14" s="70"/>
      <c r="Y14" s="71">
        <f>T14/(1+aftCOC)^IF(Assumptions!$C$26="End",$S14,$S14-0.5)</f>
        <v>0</v>
      </c>
      <c r="Z14" s="71">
        <f>U14/(1+aftCOC)^IF(Assumptions!$C$26="End",$S14,$S14-0.5)</f>
        <v>0</v>
      </c>
      <c r="AA14" s="67"/>
      <c r="AB14" s="67"/>
      <c r="AC14" s="67"/>
      <c r="AD14" s="73">
        <f>IF(Assumptions!$T$33=TRUE,IF(Assumptions!$T$35=1,(((AD13+Assumptions!$C$40)*(1+$W$11)-Assumptions!$C$40)),T14),"")</f>
        <v>0</v>
      </c>
      <c r="AE14" s="73">
        <f>IF(Assumptions!$T$33=TRUE,IF(Assumptions!$T$35=1,(((AE13+(Assumptions!$C$40*aftCOC*(MIN((S14-5),1/aftCOC))))*(1+$W$11))-(Assumptions!$C$40*aftCOC*(MIN((S14-5),1/aftCOC)))),U14),"")</f>
        <v>0</v>
      </c>
    </row>
    <row r="15" spans="2:31" ht="12.75">
      <c r="B15" s="156" t="s">
        <v>139</v>
      </c>
      <c r="C15" s="162" t="s">
        <v>82</v>
      </c>
      <c r="D15" s="151"/>
      <c r="E15" s="157">
        <f>After!E53-Before!E53</f>
        <v>0</v>
      </c>
      <c r="F15" s="157">
        <f>After!F53-Before!F53</f>
        <v>0</v>
      </c>
      <c r="G15" s="157">
        <f>After!G53-Before!G53</f>
        <v>0</v>
      </c>
      <c r="H15" s="157">
        <f>After!H53-Before!H53</f>
        <v>0</v>
      </c>
      <c r="I15" s="157">
        <f>After!I53-Before!I53</f>
        <v>0</v>
      </c>
      <c r="J15" s="237">
        <f>After!J53-Before!J53</f>
        <v>0</v>
      </c>
      <c r="K15" s="158">
        <f>SUM(E15:J15)</f>
        <v>0</v>
      </c>
      <c r="L15" s="155"/>
      <c r="M15" s="143"/>
      <c r="N15" s="143"/>
      <c r="O15" s="143"/>
      <c r="S15" s="63">
        <v>9</v>
      </c>
      <c r="T15" s="64">
        <f>IF(ISERROR($V15),0,MAX(((T14+Assumptions!$C$40)*(1+$V15))-Assumptions!$C$40,0))</f>
        <v>0</v>
      </c>
      <c r="U15" s="64">
        <f>IF(ISERROR($V15),0,MAX(((U14+(Assumptions!$C$40*aftCOC*(MIN((S15-5),1/aftCOC))))*(1+$V15))-(Assumptions!$C$40*aftCOC*(MIN((S15-5),1/aftCOC))),0))</f>
        <v>0</v>
      </c>
      <c r="V15" s="76">
        <f>IF(S15&lt;=Assumptions!$C$37,$W$11-($W$11*(S15-S$11)/(Assumptions!$C$37-5)),-(((S15-Assumptions!$C$37)/(Assumptions!$C$38-Assumptions!$C$37))^5))</f>
        <v>0.016</v>
      </c>
      <c r="W15" s="66"/>
      <c r="X15" s="70"/>
      <c r="Y15" s="71">
        <f>T15/(1+aftCOC)^IF(Assumptions!$C$26="End",$S15,$S15-0.5)</f>
        <v>0</v>
      </c>
      <c r="Z15" s="71">
        <f>U15/(1+aftCOC)^IF(Assumptions!$C$26="End",$S15,$S15-0.5)</f>
        <v>0</v>
      </c>
      <c r="AA15" s="67"/>
      <c r="AB15" s="67"/>
      <c r="AC15" s="67"/>
      <c r="AD15" s="73">
        <f>IF(Assumptions!$T$33=TRUE,IF(Assumptions!$T$35=1,(((AD14+Assumptions!$C$40)*(1+$W$11)-Assumptions!$C$40)),T15),"")</f>
        <v>0</v>
      </c>
      <c r="AE15" s="73">
        <f>IF(Assumptions!$T$33=TRUE,IF(Assumptions!$T$35=1,(((AE14+(Assumptions!$C$40*aftCOC*(MIN((S15-5),1/aftCOC))))*(1+$W$11))-(Assumptions!$C$40*aftCOC*(MIN((S15-5),1/aftCOC)))),U15),"")</f>
        <v>0</v>
      </c>
    </row>
    <row r="16" spans="2:31" ht="12.75">
      <c r="B16" s="156"/>
      <c r="C16" s="162" t="s">
        <v>145</v>
      </c>
      <c r="D16" s="151"/>
      <c r="E16" s="153">
        <f aca="true" t="shared" si="3" ref="E16:J16">E12+SUM(E14:E15)</f>
        <v>0</v>
      </c>
      <c r="F16" s="153">
        <f t="shared" si="3"/>
        <v>0</v>
      </c>
      <c r="G16" s="153">
        <f t="shared" si="3"/>
        <v>0</v>
      </c>
      <c r="H16" s="153">
        <f t="shared" si="3"/>
        <v>0</v>
      </c>
      <c r="I16" s="153">
        <f t="shared" si="3"/>
        <v>0</v>
      </c>
      <c r="J16" s="153">
        <f t="shared" si="3"/>
        <v>0</v>
      </c>
      <c r="K16" s="154">
        <f>SUM(E16:J16)</f>
        <v>0</v>
      </c>
      <c r="L16" s="155"/>
      <c r="M16" s="143"/>
      <c r="N16" s="143"/>
      <c r="O16" s="143"/>
      <c r="S16" s="63">
        <v>10</v>
      </c>
      <c r="T16" s="64">
        <f>IF(ISERROR($V16),0,MAX(((T15+Assumptions!$C$40)*(1+$V16))-Assumptions!$C$40,0))</f>
        <v>0</v>
      </c>
      <c r="U16" s="64">
        <f>IF(ISERROR($V16),0,MAX(((U15+(Assumptions!$C$40*aftCOC*(MIN((S16-5),1/aftCOC))))*(1+$V16))-(Assumptions!$C$40*aftCOC*(MIN((S16-5),1/aftCOC))),0))</f>
        <v>0</v>
      </c>
      <c r="V16" s="76">
        <f>IF(S16&lt;=Assumptions!$C$37,$W$11-($W$11*(S16-S$11)/(Assumptions!$C$37-5)),-(((S16-Assumptions!$C$37)/(Assumptions!$C$38-Assumptions!$C$37))^5))</f>
        <v>0.015</v>
      </c>
      <c r="W16" s="66"/>
      <c r="X16" s="70"/>
      <c r="Y16" s="71">
        <f>T16/(1+aftCOC)^IF(Assumptions!$C$26="End",$S16,$S16-0.5)</f>
        <v>0</v>
      </c>
      <c r="Z16" s="71">
        <f>U16/(1+aftCOC)^IF(Assumptions!$C$26="End",$S16,$S16-0.5)</f>
        <v>0</v>
      </c>
      <c r="AA16" s="67"/>
      <c r="AB16" s="67"/>
      <c r="AC16" s="67"/>
      <c r="AD16" s="73">
        <f>IF(Assumptions!$T$33=TRUE,IF(Assumptions!$T$35=1,(((AD15+Assumptions!$C$40)*(1+$W$11)-Assumptions!$C$40)),T16),"")</f>
        <v>0</v>
      </c>
      <c r="AE16" s="73">
        <f>IF(Assumptions!$T$33=TRUE,IF(Assumptions!$T$35=1,(((AE15+(Assumptions!$C$40*aftCOC*(MIN((S16-5),1/aftCOC))))*(1+$W$11))-(Assumptions!$C$40*aftCOC*(MIN((S16-5),1/aftCOC)))),U16),"")</f>
        <v>0</v>
      </c>
    </row>
    <row r="17" spans="2:31" ht="12.75">
      <c r="B17" s="156"/>
      <c r="C17" s="163"/>
      <c r="D17" s="151"/>
      <c r="E17" s="164"/>
      <c r="F17" s="164"/>
      <c r="G17" s="164"/>
      <c r="H17" s="164"/>
      <c r="I17" s="164"/>
      <c r="J17" s="164"/>
      <c r="K17" s="165"/>
      <c r="L17" s="155"/>
      <c r="M17" s="143"/>
      <c r="N17" s="143"/>
      <c r="O17" s="143"/>
      <c r="S17" s="63">
        <v>11</v>
      </c>
      <c r="T17" s="64">
        <f>IF(ISERROR($V17),0,MAX(((T16+Assumptions!$C$40)*(1+$V17))-Assumptions!$C$40,0))</f>
        <v>0</v>
      </c>
      <c r="U17" s="64">
        <f>IF(ISERROR($V17),0,MAX(((U16+(Assumptions!$C$40*aftCOC*(MIN((S17-5),1/aftCOC))))*(1+$V17))-(Assumptions!$C$40*aftCOC*(MIN((S17-5),1/aftCOC))),0))</f>
        <v>0</v>
      </c>
      <c r="V17" s="76">
        <f>IF(S17&lt;=Assumptions!$C$37,$W$11-($W$11*(S17-S$11)/(Assumptions!$C$37-5)),-(((S17-Assumptions!$C$37)/(Assumptions!$C$38-Assumptions!$C$37))^5))</f>
        <v>0.014</v>
      </c>
      <c r="W17" s="66"/>
      <c r="X17" s="70"/>
      <c r="Y17" s="71">
        <f>T17/(1+aftCOC)^IF(Assumptions!$C$26="End",$S17,$S17-0.5)</f>
        <v>0</v>
      </c>
      <c r="Z17" s="71">
        <f>U17/(1+aftCOC)^IF(Assumptions!$C$26="End",$S17,$S17-0.5)</f>
        <v>0</v>
      </c>
      <c r="AA17" s="67"/>
      <c r="AB17" s="67"/>
      <c r="AC17" s="67"/>
      <c r="AD17" s="73">
        <f>IF(Assumptions!$T$33=TRUE,IF(Assumptions!$T$35=1,(((AD16+Assumptions!$C$40)*(1+$W$11)-Assumptions!$C$40)),T17),"")</f>
        <v>0</v>
      </c>
      <c r="AE17" s="73">
        <f>IF(Assumptions!$T$33=TRUE,IF(Assumptions!$T$35=1,(((AE16+(Assumptions!$C$40*aftCOC*(MIN((S17-5),1/aftCOC))))*(1+$W$11))-(Assumptions!$C$40*aftCOC*(MIN((S17-5),1/aftCOC)))),U17),"")</f>
        <v>0</v>
      </c>
    </row>
    <row r="18" spans="2:31" ht="12.75">
      <c r="B18" s="156" t="s">
        <v>146</v>
      </c>
      <c r="C18" s="162" t="s">
        <v>147</v>
      </c>
      <c r="D18" s="151"/>
      <c r="E18" s="153">
        <f>After!E56-Before!E56</f>
        <v>0</v>
      </c>
      <c r="F18" s="153">
        <f>After!F56-Before!F56</f>
        <v>0</v>
      </c>
      <c r="G18" s="153">
        <f>After!G56-Before!G56</f>
        <v>0</v>
      </c>
      <c r="H18" s="153">
        <f>After!H56-Before!H56</f>
        <v>0</v>
      </c>
      <c r="I18" s="153">
        <f>After!I56-Before!I56</f>
        <v>0</v>
      </c>
      <c r="J18" s="153">
        <f>After!J56-Before!J56</f>
        <v>0</v>
      </c>
      <c r="K18" s="154">
        <f>SUM(E18:J18)</f>
        <v>0</v>
      </c>
      <c r="L18" s="155"/>
      <c r="M18" s="143"/>
      <c r="N18" s="143"/>
      <c r="O18" s="143"/>
      <c r="S18" s="63">
        <v>12</v>
      </c>
      <c r="T18" s="64">
        <f>IF(ISERROR($V18),0,MAX(((T17+Assumptions!$C$40)*(1+$V18))-Assumptions!$C$40,0))</f>
        <v>0</v>
      </c>
      <c r="U18" s="64">
        <f>IF(ISERROR($V18),0,MAX(((U17+(Assumptions!$C$40*aftCOC*(MIN((S18-5),1/aftCOC))))*(1+$V18))-(Assumptions!$C$40*aftCOC*(MIN((S18-5),1/aftCOC))),0))</f>
        <v>0</v>
      </c>
      <c r="V18" s="76">
        <f>IF(S18&lt;=Assumptions!$C$37,$W$11-($W$11*(S18-S$11)/(Assumptions!$C$37-5)),-(((S18-Assumptions!$C$37)/(Assumptions!$C$38-Assumptions!$C$37))^5))</f>
        <v>0.013</v>
      </c>
      <c r="W18" s="66"/>
      <c r="X18" s="70"/>
      <c r="Y18" s="71">
        <f>T18/(1+aftCOC)^IF(Assumptions!$C$26="End",$S18,$S18-0.5)</f>
        <v>0</v>
      </c>
      <c r="Z18" s="71">
        <f>U18/(1+aftCOC)^IF(Assumptions!$C$26="End",$S18,$S18-0.5)</f>
        <v>0</v>
      </c>
      <c r="AA18" s="67"/>
      <c r="AB18" s="67"/>
      <c r="AC18" s="67"/>
      <c r="AD18" s="73">
        <f>IF(Assumptions!$T$33=TRUE,IF(Assumptions!$T$35=1,(((AD17+Assumptions!$C$40)*(1+$W$11)-Assumptions!$C$40)),T18),"")</f>
        <v>0</v>
      </c>
      <c r="AE18" s="73">
        <f>IF(Assumptions!$T$33=TRUE,IF(Assumptions!$T$35=1,(((AE17+(Assumptions!$C$40*aftCOC*(MIN((S18-5),1/aftCOC))))*(1+$W$11))-(Assumptions!$C$40*aftCOC*(MIN((S18-5),1/aftCOC)))),U18),"")</f>
        <v>0</v>
      </c>
    </row>
    <row r="19" spans="2:31" ht="13.5" thickBot="1">
      <c r="B19" s="156"/>
      <c r="C19" s="163" t="s">
        <v>148</v>
      </c>
      <c r="D19" s="163"/>
      <c r="E19" s="166">
        <f aca="true" t="shared" si="4" ref="E19:J19">E16+E18</f>
        <v>0</v>
      </c>
      <c r="F19" s="166">
        <f t="shared" si="4"/>
        <v>0</v>
      </c>
      <c r="G19" s="166">
        <f t="shared" si="4"/>
        <v>0</v>
      </c>
      <c r="H19" s="166">
        <f t="shared" si="4"/>
        <v>0</v>
      </c>
      <c r="I19" s="166">
        <f t="shared" si="4"/>
        <v>0</v>
      </c>
      <c r="J19" s="166">
        <f t="shared" si="4"/>
        <v>0</v>
      </c>
      <c r="K19" s="167">
        <f>SUM(E19:J19)</f>
        <v>0</v>
      </c>
      <c r="L19" s="155"/>
      <c r="M19" s="143"/>
      <c r="N19" s="143"/>
      <c r="O19" s="143"/>
      <c r="S19" s="63">
        <v>13</v>
      </c>
      <c r="T19" s="64">
        <f>IF(ISERROR($V19),0,MAX(((T18+Assumptions!$C$40)*(1+$V19))-Assumptions!$C$40,0))</f>
        <v>0</v>
      </c>
      <c r="U19" s="64">
        <f>IF(ISERROR($V19),0,MAX(((U18+(Assumptions!$C$40*aftCOC*(MIN((S19-5),1/aftCOC))))*(1+$V19))-(Assumptions!$C$40*aftCOC*(MIN((S19-5),1/aftCOC))),0))</f>
        <v>0</v>
      </c>
      <c r="V19" s="76">
        <f>IF(S19&lt;=Assumptions!$C$37,$W$11-($W$11*(S19-S$11)/(Assumptions!$C$37-5)),-(((S19-Assumptions!$C$37)/(Assumptions!$C$38-Assumptions!$C$37))^5))</f>
        <v>0.012</v>
      </c>
      <c r="W19" s="66"/>
      <c r="X19" s="70"/>
      <c r="Y19" s="71">
        <f>T19/(1+aftCOC)^IF(Assumptions!$C$26="End",$S19,$S19-0.5)</f>
        <v>0</v>
      </c>
      <c r="Z19" s="71">
        <f>U19/(1+aftCOC)^IF(Assumptions!$C$26="End",$S19,$S19-0.5)</f>
        <v>0</v>
      </c>
      <c r="AA19" s="67"/>
      <c r="AB19" s="67"/>
      <c r="AC19" s="67"/>
      <c r="AD19" s="73">
        <f>IF(Assumptions!$T$33=TRUE,IF(Assumptions!$T$35=1,(((AD18+Assumptions!$C$40)*(1+$W$11)-Assumptions!$C$40)),T19),"")</f>
        <v>0</v>
      </c>
      <c r="AE19" s="73">
        <f>IF(Assumptions!$T$33=TRUE,IF(Assumptions!$T$35=1,(((AE18+(Assumptions!$C$40*aftCOC*(MIN((S19-5),1/aftCOC))))*(1+$W$11))-(Assumptions!$C$40*aftCOC*(MIN((S19-5),1/aftCOC)))),U19),"")</f>
        <v>0</v>
      </c>
    </row>
    <row r="20" spans="2:31" ht="12.75">
      <c r="B20" s="168"/>
      <c r="C20" s="169"/>
      <c r="D20" s="169"/>
      <c r="E20" s="170"/>
      <c r="F20" s="170"/>
      <c r="G20" s="170"/>
      <c r="H20" s="170"/>
      <c r="I20" s="170"/>
      <c r="J20" s="170"/>
      <c r="K20" s="171"/>
      <c r="L20" s="155"/>
      <c r="M20" s="143"/>
      <c r="N20" s="143"/>
      <c r="O20" s="143"/>
      <c r="S20" s="63">
        <v>14</v>
      </c>
      <c r="T20" s="64">
        <f>IF(ISERROR($V20),0,MAX(((T19+Assumptions!$C$40)*(1+$V20))-Assumptions!$C$40,0))</f>
        <v>0</v>
      </c>
      <c r="U20" s="64">
        <f>IF(ISERROR($V20),0,MAX(((U19+(Assumptions!$C$40*aftCOC*(MIN((S20-5),1/aftCOC))))*(1+$V20))-(Assumptions!$C$40*aftCOC*(MIN((S20-5),1/aftCOC))),0))</f>
        <v>0</v>
      </c>
      <c r="V20" s="76">
        <f>IF(S20&lt;=Assumptions!$C$37,$W$11-($W$11*(S20-S$11)/(Assumptions!$C$37-5)),-(((S20-Assumptions!$C$37)/(Assumptions!$C$38-Assumptions!$C$37))^5))</f>
        <v>0.011000000000000001</v>
      </c>
      <c r="W20" s="66"/>
      <c r="X20" s="70"/>
      <c r="Y20" s="71">
        <f>T20/(1+aftCOC)^IF(Assumptions!$C$26="End",$S20,$S20-0.5)</f>
        <v>0</v>
      </c>
      <c r="Z20" s="71">
        <f>U20/(1+aftCOC)^IF(Assumptions!$C$26="End",$S20,$S20-0.5)</f>
        <v>0</v>
      </c>
      <c r="AA20" s="67"/>
      <c r="AB20" s="67"/>
      <c r="AC20" s="67"/>
      <c r="AD20" s="73">
        <f>IF(Assumptions!$T$33=TRUE,IF(Assumptions!$T$35=1,(((AD19+Assumptions!$C$40)*(1+$W$11)-Assumptions!$C$40)),T20),"")</f>
        <v>0</v>
      </c>
      <c r="AE20" s="73">
        <f>IF(Assumptions!$T$33=TRUE,IF(Assumptions!$T$35=1,(((AE19+(Assumptions!$C$40*aftCOC*(MIN((S20-5),1/aftCOC))))*(1+$W$11))-(Assumptions!$C$40*aftCOC*(MIN((S20-5),1/aftCOC)))),U20),"")</f>
        <v>0</v>
      </c>
    </row>
    <row r="21" spans="2:31" ht="6.75" customHeight="1">
      <c r="B21" s="172"/>
      <c r="C21" s="143"/>
      <c r="D21" s="143"/>
      <c r="E21" s="155"/>
      <c r="F21" s="155"/>
      <c r="G21" s="155"/>
      <c r="H21" s="155"/>
      <c r="I21" s="155"/>
      <c r="J21" s="155"/>
      <c r="K21" s="155"/>
      <c r="L21" s="155"/>
      <c r="M21" s="143"/>
      <c r="N21" s="143"/>
      <c r="O21" s="143"/>
      <c r="S21" s="63">
        <v>15</v>
      </c>
      <c r="T21" s="64">
        <f>IF(ISERROR($V21),0,MAX(((T20+Assumptions!$C$40)*(1+$V21))-Assumptions!$C$40,0))</f>
        <v>0</v>
      </c>
      <c r="U21" s="64">
        <f>IF(ISERROR($V21),0,MAX(((U20+(Assumptions!$C$40*aftCOC*(MIN((S21-5),1/aftCOC))))*(1+$V21))-(Assumptions!$C$40*aftCOC*(MIN((S21-5),1/aftCOC))),0))</f>
        <v>0</v>
      </c>
      <c r="V21" s="76">
        <f>IF(S21&lt;=Assumptions!$C$37,$W$11-($W$11*(S21-S$11)/(Assumptions!$C$37-5)),-(((S21-Assumptions!$C$37)/(Assumptions!$C$38-Assumptions!$C$37))^5))</f>
        <v>0.01</v>
      </c>
      <c r="W21" s="66"/>
      <c r="X21" s="70"/>
      <c r="Y21" s="71">
        <f>T21/(1+aftCOC)^IF(Assumptions!$C$26="End",$S21,$S21-0.5)</f>
        <v>0</v>
      </c>
      <c r="Z21" s="71">
        <f>U21/(1+aftCOC)^IF(Assumptions!$C$26="End",$S21,$S21-0.5)</f>
        <v>0</v>
      </c>
      <c r="AA21" s="67"/>
      <c r="AB21" s="67"/>
      <c r="AC21" s="67"/>
      <c r="AD21" s="73">
        <f>IF(Assumptions!$T$33=TRUE,IF(Assumptions!$T$35=1,(((AD20+Assumptions!$C$40)*(1+$W$11)-Assumptions!$C$40)),T21),"")</f>
        <v>0</v>
      </c>
      <c r="AE21" s="73">
        <f>IF(Assumptions!$T$33=TRUE,IF(Assumptions!$T$35=1,(((AE20+(Assumptions!$C$40*aftCOC*(MIN((S21-5),1/aftCOC))))*(1+$W$11))-(Assumptions!$C$40*aftCOC*(MIN((S21-5),1/aftCOC)))),U21),"")</f>
        <v>0</v>
      </c>
    </row>
    <row r="22" spans="2:31" ht="12.75">
      <c r="B22" s="238" t="str">
        <f>B4</f>
        <v>$000</v>
      </c>
      <c r="C22" s="146" t="s">
        <v>78</v>
      </c>
      <c r="D22" s="147"/>
      <c r="E22" s="148">
        <f aca="true" t="shared" si="5" ref="E22:J22">E4</f>
        <v>2010</v>
      </c>
      <c r="F22" s="148">
        <f t="shared" si="5"/>
        <v>2011</v>
      </c>
      <c r="G22" s="148">
        <f t="shared" si="5"/>
        <v>2012</v>
      </c>
      <c r="H22" s="148">
        <f t="shared" si="5"/>
        <v>2013</v>
      </c>
      <c r="I22" s="148">
        <f t="shared" si="5"/>
        <v>2014</v>
      </c>
      <c r="J22" s="148">
        <f t="shared" si="5"/>
        <v>2015</v>
      </c>
      <c r="K22" s="174" t="s">
        <v>6</v>
      </c>
      <c r="L22" s="175" t="s">
        <v>156</v>
      </c>
      <c r="M22" s="147"/>
      <c r="N22" s="147"/>
      <c r="O22" s="176"/>
      <c r="S22" s="63">
        <v>80</v>
      </c>
      <c r="T22" s="64">
        <f>IF(ISERROR($V22),0,MAX(((T21+Assumptions!$C$40)*(1+$V22))-Assumptions!$C$40,0))</f>
        <v>0</v>
      </c>
      <c r="U22" s="64">
        <f>IF(ISERROR($V22),0,MAX(((U21+(Assumptions!$C$40*aftCOC*(MIN((S22-5),1/aftCOC))))*(1+$V22))-(Assumptions!$C$40*aftCOC*(MIN((S22-5),1/aftCOC))),0))</f>
        <v>0</v>
      </c>
      <c r="V22" s="76">
        <f>IF(S22&lt;=Assumptions!$C$37,$W$11-($W$11*(S22-S$11)/(Assumptions!$C$37-5)),-(((S22-Assumptions!$C$37)/(Assumptions!$C$38-Assumptions!$C$37))^5))</f>
        <v>-662.7613168724278</v>
      </c>
      <c r="W22" s="66"/>
      <c r="X22" s="70"/>
      <c r="Y22" s="71">
        <f>T22/(1+aftCOC)^IF(Assumptions!$C$26="End",$S22,$S22-0.5)</f>
        <v>0</v>
      </c>
      <c r="Z22" s="71">
        <f>U22/(1+aftCOC)^IF(Assumptions!$C$26="End",$S22,$S22-0.5)</f>
        <v>0</v>
      </c>
      <c r="AA22" s="67"/>
      <c r="AB22" s="67"/>
      <c r="AC22" s="67"/>
      <c r="AD22" s="73">
        <f>IF(Assumptions!$T$33=TRUE,IF(Assumptions!$T$35=1,(((AD21+Assumptions!$C$40)*(1+$W$11)-Assumptions!$C$40)),T22),"")</f>
        <v>0</v>
      </c>
      <c r="AE22" s="73">
        <f>IF(Assumptions!$T$33=TRUE,IF(Assumptions!$T$35=1,(((AE21+(Assumptions!$C$40*aftCOC*(MIN((S22-5),1/aftCOC))))*(1+$W$11))-(Assumptions!$C$40*aftCOC*(MIN((S22-5),1/aftCOC)))),U22),"")</f>
        <v>0</v>
      </c>
    </row>
    <row r="23" spans="2:31" ht="12.75">
      <c r="B23" s="156"/>
      <c r="C23" s="151"/>
      <c r="D23" s="151"/>
      <c r="E23" s="153"/>
      <c r="F23" s="153"/>
      <c r="G23" s="153"/>
      <c r="H23" s="153"/>
      <c r="I23" s="153"/>
      <c r="J23" s="153"/>
      <c r="K23" s="177"/>
      <c r="L23" s="153"/>
      <c r="M23" s="151"/>
      <c r="N23" s="151"/>
      <c r="O23" s="178"/>
      <c r="S23" s="63">
        <v>17</v>
      </c>
      <c r="T23" s="64">
        <f>IF(ISERROR($V23),0,MAX(((T22+Assumptions!$C$40)*(1+$V23))-Assumptions!$C$40,0))</f>
        <v>0</v>
      </c>
      <c r="U23" s="64">
        <f>IF(ISERROR($V23),0,MAX(((U22+(Assumptions!$C$40*aftCOC*(MIN((S23-5),1/aftCOC))))*(1+$V23))-(Assumptions!$C$40*aftCOC*(MIN((S23-5),1/aftCOC))),0))</f>
        <v>0</v>
      </c>
      <c r="V23" s="76">
        <f>IF(S23&lt;=Assumptions!$C$37,$W$11-($W$11*(S23-S$11)/(Assumptions!$C$37-5)),-(((S23-Assumptions!$C$37)/(Assumptions!$C$38-Assumptions!$C$37))^5))</f>
        <v>0.008</v>
      </c>
      <c r="W23" s="66"/>
      <c r="X23" s="70"/>
      <c r="Y23" s="71">
        <f>T23/(1+aftCOC)^IF(Assumptions!$C$26="End",$S23,$S23-0.5)</f>
        <v>0</v>
      </c>
      <c r="Z23" s="71">
        <f>U23/(1+aftCOC)^IF(Assumptions!$C$26="End",$S23,$S23-0.5)</f>
        <v>0</v>
      </c>
      <c r="AA23" s="67"/>
      <c r="AB23" s="67"/>
      <c r="AC23" s="67"/>
      <c r="AD23" s="73">
        <f>IF(Assumptions!$T$33=TRUE,IF(Assumptions!$T$35=1,(((AD22+Assumptions!$C$40)*(1+$W$11)-Assumptions!$C$40)),T23),"")</f>
        <v>0</v>
      </c>
      <c r="AE23" s="73">
        <f>IF(Assumptions!$T$33=TRUE,IF(Assumptions!$T$35=1,(((AE22+(Assumptions!$C$40*aftCOC*(MIN((S23-5),1/aftCOC))))*(1+$W$11))-(Assumptions!$C$40*aftCOC*(MIN((S23-5),1/aftCOC)))),U23),"")</f>
        <v>0</v>
      </c>
    </row>
    <row r="24" spans="2:31" ht="12.75">
      <c r="B24" s="156"/>
      <c r="C24" s="151" t="s">
        <v>7</v>
      </c>
      <c r="D24" s="151"/>
      <c r="E24" s="153">
        <f>After!E62-Before!E62</f>
        <v>0</v>
      </c>
      <c r="F24" s="153">
        <f>After!F62-Before!F62</f>
        <v>0</v>
      </c>
      <c r="G24" s="153">
        <f>After!G62-Before!G62</f>
        <v>0</v>
      </c>
      <c r="H24" s="153">
        <f>After!H62-Before!H62</f>
        <v>0</v>
      </c>
      <c r="I24" s="153">
        <f>After!I62-Before!I62</f>
        <v>0</v>
      </c>
      <c r="J24" s="153">
        <f>After!J62-Before!J62</f>
        <v>0</v>
      </c>
      <c r="K24" s="177">
        <f>SUM(E24:J24)</f>
        <v>0</v>
      </c>
      <c r="L24" s="153"/>
      <c r="M24" s="151"/>
      <c r="N24" s="151"/>
      <c r="O24" s="178"/>
      <c r="S24" s="63">
        <v>18</v>
      </c>
      <c r="T24" s="64">
        <f>IF(ISERROR($V24),0,MAX(((T23+Assumptions!$C$40)*(1+$V24))-Assumptions!$C$40,0))</f>
        <v>0</v>
      </c>
      <c r="U24" s="64">
        <f>IF(ISERROR($V24),0,MAX(((U23+(Assumptions!$C$40*aftCOC*(MIN((S24-5),1/aftCOC))))*(1+$V24))-(Assumptions!$C$40*aftCOC*(MIN((S24-5),1/aftCOC))),0))</f>
        <v>0</v>
      </c>
      <c r="V24" s="76">
        <f>IF(S24&lt;=Assumptions!$C$37,$W$11-($W$11*(S24-S$11)/(Assumptions!$C$37-5)),-(((S24-Assumptions!$C$37)/(Assumptions!$C$38-Assumptions!$C$37))^5))</f>
        <v>0.006999999999999999</v>
      </c>
      <c r="W24" s="66"/>
      <c r="X24" s="70"/>
      <c r="Y24" s="71">
        <f>T24/(1+aftCOC)^IF(Assumptions!$C$26="End",$S24,$S24-0.5)</f>
        <v>0</v>
      </c>
      <c r="Z24" s="71">
        <f>U24/(1+aftCOC)^IF(Assumptions!$C$26="End",$S24,$S24-0.5)</f>
        <v>0</v>
      </c>
      <c r="AA24" s="67"/>
      <c r="AB24" s="67"/>
      <c r="AC24" s="67"/>
      <c r="AD24" s="73">
        <f>IF(Assumptions!$T$33=TRUE,IF(Assumptions!$T$35=1,(((AD23+Assumptions!$C$40)*(1+$W$11)-Assumptions!$C$40)),T24),"")</f>
        <v>0</v>
      </c>
      <c r="AE24" s="73">
        <f>IF(Assumptions!$T$33=TRUE,IF(Assumptions!$T$35=1,(((AE23+(Assumptions!$C$40*aftCOC*(MIN((S24-5),1/aftCOC))))*(1+$W$11))-(Assumptions!$C$40*aftCOC*(MIN((S24-5),1/aftCOC)))),U24),"")</f>
        <v>0</v>
      </c>
    </row>
    <row r="25" spans="2:31" ht="12.75">
      <c r="B25" s="156" t="s">
        <v>139</v>
      </c>
      <c r="C25" s="151" t="s">
        <v>17</v>
      </c>
      <c r="D25" s="151"/>
      <c r="E25" s="153">
        <f>After!E63-Before!E63</f>
        <v>0</v>
      </c>
      <c r="F25" s="153">
        <f>After!F63-Before!F63</f>
        <v>0</v>
      </c>
      <c r="G25" s="153">
        <f>After!G63-Before!G63</f>
        <v>0</v>
      </c>
      <c r="H25" s="153">
        <f>After!H63-Before!H63</f>
        <v>0</v>
      </c>
      <c r="I25" s="153">
        <f>After!I63-Before!I63</f>
        <v>0</v>
      </c>
      <c r="J25" s="153">
        <f>After!J63-Before!J63</f>
        <v>0</v>
      </c>
      <c r="K25" s="177">
        <f>SUM(E25:J25)</f>
        <v>0</v>
      </c>
      <c r="L25" s="153"/>
      <c r="M25" s="151"/>
      <c r="N25" s="151"/>
      <c r="O25" s="178"/>
      <c r="S25" s="63">
        <v>19</v>
      </c>
      <c r="T25" s="64">
        <f>IF(ISERROR($V25),0,MAX(((T24+Assumptions!$C$40)*(1+$V25))-Assumptions!$C$40,0))</f>
        <v>0</v>
      </c>
      <c r="U25" s="64">
        <f>IF(ISERROR($V25),0,MAX(((U24+(Assumptions!$C$40*aftCOC*(MIN((S25-5),1/aftCOC))))*(1+$V25))-(Assumptions!$C$40*aftCOC*(MIN((S25-5),1/aftCOC))),0))</f>
        <v>0</v>
      </c>
      <c r="V25" s="76">
        <f>IF(S25&lt;=Assumptions!$C$37,$W$11-($W$11*(S25-S$11)/(Assumptions!$C$37-5)),-(((S25-Assumptions!$C$37)/(Assumptions!$C$38-Assumptions!$C$37))^5))</f>
        <v>0.005999999999999998</v>
      </c>
      <c r="W25" s="66"/>
      <c r="X25" s="70"/>
      <c r="Y25" s="71">
        <f>T25/(1+aftCOC)^IF(Assumptions!$C$26="End",$S25,$S25-0.5)</f>
        <v>0</v>
      </c>
      <c r="Z25" s="71">
        <f>U25/(1+aftCOC)^IF(Assumptions!$C$26="End",$S25,$S25-0.5)</f>
        <v>0</v>
      </c>
      <c r="AA25" s="67"/>
      <c r="AB25" s="67"/>
      <c r="AC25" s="67"/>
      <c r="AD25" s="73">
        <f>IF(Assumptions!$T$33=TRUE,IF(Assumptions!$T$35=1,(((AD24+Assumptions!$C$40)*(1+$W$11)-Assumptions!$C$40)),T25),"")</f>
        <v>0</v>
      </c>
      <c r="AE25" s="73">
        <f>IF(Assumptions!$T$33=TRUE,IF(Assumptions!$T$35=1,(((AE24+(Assumptions!$C$40*aftCOC*(MIN((S25-5),1/aftCOC))))*(1+$W$11))-(Assumptions!$C$40*aftCOC*(MIN((S25-5),1/aftCOC)))),U25),"")</f>
        <v>0</v>
      </c>
    </row>
    <row r="26" spans="2:31" ht="12.75">
      <c r="B26" s="156" t="s">
        <v>139</v>
      </c>
      <c r="C26" s="151" t="s">
        <v>82</v>
      </c>
      <c r="D26" s="151"/>
      <c r="E26" s="153">
        <f>After!E64-Before!E64</f>
        <v>0</v>
      </c>
      <c r="F26" s="153">
        <f>After!F64-Before!F64</f>
        <v>0</v>
      </c>
      <c r="G26" s="153">
        <f>After!G64-Before!G64</f>
        <v>0</v>
      </c>
      <c r="H26" s="153">
        <f>After!H64-Before!H64</f>
        <v>0</v>
      </c>
      <c r="I26" s="153">
        <f>After!I64-Before!I64</f>
        <v>0</v>
      </c>
      <c r="J26" s="153">
        <f>After!J64-Before!J64</f>
        <v>0</v>
      </c>
      <c r="K26" s="177">
        <f>SUM(E26:J26)</f>
        <v>0</v>
      </c>
      <c r="L26" s="151"/>
      <c r="M26" s="153">
        <f>After!M64-Before!M64</f>
        <v>0</v>
      </c>
      <c r="N26" s="151"/>
      <c r="O26" s="178"/>
      <c r="S26" s="63">
        <v>20</v>
      </c>
      <c r="T26" s="64">
        <f>IF(ISERROR($V26),0,MAX(((T25+Assumptions!$C$40)*(1+$V26))-Assumptions!$C$40,0))</f>
        <v>0</v>
      </c>
      <c r="U26" s="64">
        <f>IF(ISERROR($V26),0,MAX(((U25+(Assumptions!$C$40*aftCOC*(MIN((S26-5),1/aftCOC))))*(1+$V26))-(Assumptions!$C$40*aftCOC*(MIN((S26-5),1/aftCOC))),0))</f>
        <v>0</v>
      </c>
      <c r="V26" s="76">
        <f>IF(S26&lt;=Assumptions!$C$37,$W$11-($W$11*(S26-S$11)/(Assumptions!$C$37-5)),-(((S26-Assumptions!$C$37)/(Assumptions!$C$38-Assumptions!$C$37))^5))</f>
        <v>0.005000000000000001</v>
      </c>
      <c r="W26" s="66"/>
      <c r="X26" s="70"/>
      <c r="Y26" s="71">
        <f>T26/(1+aftCOC)^IF(Assumptions!$C$26="End",$S26,$S26-0.5)</f>
        <v>0</v>
      </c>
      <c r="Z26" s="71">
        <f>U26/(1+aftCOC)^IF(Assumptions!$C$26="End",$S26,$S26-0.5)</f>
        <v>0</v>
      </c>
      <c r="AA26" s="67"/>
      <c r="AB26" s="67"/>
      <c r="AC26" s="67"/>
      <c r="AD26" s="73">
        <f>IF(Assumptions!$T$33=TRUE,IF(Assumptions!$T$35=1,(((AD25+Assumptions!$C$40)*(1+$W$11)-Assumptions!$C$40)),T26),"")</f>
        <v>0</v>
      </c>
      <c r="AE26" s="73">
        <f>IF(Assumptions!$T$33=TRUE,IF(Assumptions!$T$35=1,(((AE25+(Assumptions!$C$40*aftCOC*(MIN((S26-5),1/aftCOC))))*(1+$W$11))-(Assumptions!$C$40*aftCOC*(MIN((S26-5),1/aftCOC)))),U26),"")</f>
        <v>0</v>
      </c>
    </row>
    <row r="27" spans="2:31" ht="12.75">
      <c r="B27" s="156" t="s">
        <v>139</v>
      </c>
      <c r="C27" s="151" t="s">
        <v>136</v>
      </c>
      <c r="D27" s="151"/>
      <c r="E27" s="157">
        <f>After!E65-Before!E65</f>
        <v>0</v>
      </c>
      <c r="F27" s="157">
        <f>After!F65-Before!F65</f>
        <v>0</v>
      </c>
      <c r="G27" s="157">
        <f>After!G65-Before!G65</f>
        <v>0</v>
      </c>
      <c r="H27" s="157">
        <f>After!H65-Before!H65</f>
        <v>0</v>
      </c>
      <c r="I27" s="157">
        <f>After!I65-Before!I65</f>
        <v>0</v>
      </c>
      <c r="J27" s="237">
        <f>After!J65-Before!J65</f>
        <v>0</v>
      </c>
      <c r="K27" s="179">
        <f>SUM(E27:J27)</f>
        <v>0</v>
      </c>
      <c r="L27" s="151"/>
      <c r="M27" s="157">
        <f>After!M65-Before!M65</f>
        <v>0</v>
      </c>
      <c r="N27" s="151"/>
      <c r="O27" s="178"/>
      <c r="S27" s="63">
        <v>21</v>
      </c>
      <c r="T27" s="64">
        <f>IF(ISERROR($V27),0,MAX(((T26+Assumptions!$C$40)*(1+$V27))-Assumptions!$C$40,0))</f>
        <v>0</v>
      </c>
      <c r="U27" s="64">
        <f>IF(ISERROR($V27),0,MAX(((U26+(Assumptions!$C$40*aftCOC*(MIN((S27-5),1/aftCOC))))*(1+$V27))-(Assumptions!$C$40*aftCOC*(MIN((S27-5),1/aftCOC))),0))</f>
        <v>0</v>
      </c>
      <c r="V27" s="76">
        <f>IF(S27&lt;=Assumptions!$C$37,$W$11-($W$11*(S27-S$11)/(Assumptions!$C$37-5)),-(((S27-Assumptions!$C$37)/(Assumptions!$C$38-Assumptions!$C$37))^5))</f>
        <v>0.004</v>
      </c>
      <c r="W27" s="66"/>
      <c r="X27" s="70"/>
      <c r="Y27" s="71">
        <f>T27/(1+aftCOC)^IF(Assumptions!$C$26="End",$S27,$S27-0.5)</f>
        <v>0</v>
      </c>
      <c r="Z27" s="71">
        <f>U27/(1+aftCOC)^IF(Assumptions!$C$26="End",$S27,$S27-0.5)</f>
        <v>0</v>
      </c>
      <c r="AA27" s="67"/>
      <c r="AB27" s="67"/>
      <c r="AC27" s="67"/>
      <c r="AD27" s="73">
        <f>IF(Assumptions!$T$33=TRUE,IF(Assumptions!$T$35=1,(((AD26+Assumptions!$C$40)*(1+$W$11)-Assumptions!$C$40)),T27),"")</f>
        <v>0</v>
      </c>
      <c r="AE27" s="73">
        <f>IF(Assumptions!$T$33=TRUE,IF(Assumptions!$T$35=1,(((AE26+(Assumptions!$C$40*aftCOC*(MIN((S27-5),1/aftCOC))))*(1+$W$11))-(Assumptions!$C$40*aftCOC*(MIN((S27-5),1/aftCOC)))),U27),"")</f>
        <v>0</v>
      </c>
    </row>
    <row r="28" spans="2:31" ht="12.75">
      <c r="B28" s="156"/>
      <c r="C28" s="151" t="s">
        <v>79</v>
      </c>
      <c r="D28" s="151"/>
      <c r="E28" s="153">
        <f aca="true" t="shared" si="6" ref="E28:J28">SUM(E24:E27)</f>
        <v>0</v>
      </c>
      <c r="F28" s="153">
        <f t="shared" si="6"/>
        <v>0</v>
      </c>
      <c r="G28" s="153">
        <f t="shared" si="6"/>
        <v>0</v>
      </c>
      <c r="H28" s="153">
        <f t="shared" si="6"/>
        <v>0</v>
      </c>
      <c r="I28" s="153">
        <f t="shared" si="6"/>
        <v>0</v>
      </c>
      <c r="J28" s="153">
        <f t="shared" si="6"/>
        <v>0</v>
      </c>
      <c r="K28" s="177">
        <f>SUM(E28:J28)</f>
        <v>0</v>
      </c>
      <c r="L28" s="151"/>
      <c r="M28" s="153">
        <f>SUM(M24:M27)</f>
        <v>0</v>
      </c>
      <c r="N28" s="151"/>
      <c r="O28" s="178"/>
      <c r="S28" s="63">
        <v>22</v>
      </c>
      <c r="T28" s="64">
        <f>IF(ISERROR($V28),0,MAX(((T27+Assumptions!$C$40)*(1+$V28))-Assumptions!$C$40,0))</f>
        <v>0</v>
      </c>
      <c r="U28" s="64">
        <f>IF(ISERROR($V28),0,MAX(((U27+(Assumptions!$C$40*aftCOC*(MIN((S28-5),1/aftCOC))))*(1+$V28))-(Assumptions!$C$40*aftCOC*(MIN((S28-5),1/aftCOC))),0))</f>
        <v>0</v>
      </c>
      <c r="V28" s="76">
        <f>IF(S28&lt;=Assumptions!$C$37,$W$11-($W$11*(S28-S$11)/(Assumptions!$C$37-5)),-(((S28-Assumptions!$C$37)/(Assumptions!$C$38-Assumptions!$C$37))^5))</f>
        <v>0.002999999999999999</v>
      </c>
      <c r="W28" s="66"/>
      <c r="X28" s="70"/>
      <c r="Y28" s="71">
        <f>T28/(1+aftCOC)^IF(Assumptions!$C$26="End",$S28,$S28-0.5)</f>
        <v>0</v>
      </c>
      <c r="Z28" s="71">
        <f>U28/(1+aftCOC)^IF(Assumptions!$C$26="End",$S28,$S28-0.5)</f>
        <v>0</v>
      </c>
      <c r="AA28" s="67"/>
      <c r="AB28" s="67"/>
      <c r="AC28" s="67"/>
      <c r="AD28" s="73">
        <f>IF(Assumptions!$T$33=TRUE,IF(Assumptions!$T$35=1,(((AD27+Assumptions!$C$40)*(1+$W$11)-Assumptions!$C$40)),T28),"")</f>
        <v>0</v>
      </c>
      <c r="AE28" s="73">
        <f>IF(Assumptions!$T$33=TRUE,IF(Assumptions!$T$35=1,(((AE27+(Assumptions!$C$40*aftCOC*(MIN((S28-5),1/aftCOC))))*(1+$W$11))-(Assumptions!$C$40*aftCOC*(MIN((S28-5),1/aftCOC)))),U28),"")</f>
        <v>0</v>
      </c>
    </row>
    <row r="29" spans="2:31" ht="12.75">
      <c r="B29" s="156"/>
      <c r="C29" s="151"/>
      <c r="D29" s="151"/>
      <c r="E29" s="153"/>
      <c r="F29" s="153"/>
      <c r="G29" s="153"/>
      <c r="H29" s="153"/>
      <c r="I29" s="153"/>
      <c r="J29" s="153"/>
      <c r="K29" s="177"/>
      <c r="L29" s="151"/>
      <c r="M29" s="153"/>
      <c r="N29" s="151"/>
      <c r="O29" s="178"/>
      <c r="S29" s="63">
        <v>23</v>
      </c>
      <c r="T29" s="64">
        <f>IF(ISERROR($V29),0,MAX(((T28+Assumptions!$C$40)*(1+$V29))-Assumptions!$C$40,0))</f>
        <v>0</v>
      </c>
      <c r="U29" s="64">
        <f>IF(ISERROR($V29),0,MAX(((U28+(Assumptions!$C$40*aftCOC*(MIN((S29-5),1/aftCOC))))*(1+$V29))-(Assumptions!$C$40*aftCOC*(MIN((S29-5),1/aftCOC))),0))</f>
        <v>0</v>
      </c>
      <c r="V29" s="76">
        <f>IF(S29&lt;=Assumptions!$C$37,$W$11-($W$11*(S29-S$11)/(Assumptions!$C$37-5)),-(((S29-Assumptions!$C$37)/(Assumptions!$C$38-Assumptions!$C$37))^5))</f>
        <v>0.0020000000000000018</v>
      </c>
      <c r="W29" s="66"/>
      <c r="X29" s="70"/>
      <c r="Y29" s="71">
        <f>T29/(1+aftCOC)^IF(Assumptions!$C$26="End",$S29,$S29-0.5)</f>
        <v>0</v>
      </c>
      <c r="Z29" s="71">
        <f>U29/(1+aftCOC)^IF(Assumptions!$C$26="End",$S29,$S29-0.5)</f>
        <v>0</v>
      </c>
      <c r="AA29" s="67"/>
      <c r="AB29" s="67"/>
      <c r="AC29" s="67"/>
      <c r="AD29" s="73">
        <f>IF(Assumptions!$T$33=TRUE,IF(Assumptions!$T$35=1,(((AD28+Assumptions!$C$40)*(1+$W$11)-Assumptions!$C$40)),T29),"")</f>
        <v>0</v>
      </c>
      <c r="AE29" s="73">
        <f>IF(Assumptions!$T$33=TRUE,IF(Assumptions!$T$35=1,(((AE28+(Assumptions!$C$40*aftCOC*(MIN((S29-5),1/aftCOC))))*(1+$W$11))-(Assumptions!$C$40*aftCOC*(MIN((S29-5),1/aftCOC)))),U29),"")</f>
        <v>0</v>
      </c>
    </row>
    <row r="30" spans="2:31" ht="12.75">
      <c r="B30" s="156" t="s">
        <v>146</v>
      </c>
      <c r="C30" s="151" t="s">
        <v>149</v>
      </c>
      <c r="D30" s="151"/>
      <c r="E30" s="153">
        <f>After!E68-Before!E68</f>
        <v>0</v>
      </c>
      <c r="F30" s="153">
        <f>After!F68-Before!F68</f>
        <v>0</v>
      </c>
      <c r="G30" s="153">
        <f>After!G68-Before!G68</f>
        <v>0</v>
      </c>
      <c r="H30" s="153">
        <f>After!H68-Before!H68</f>
        <v>0</v>
      </c>
      <c r="I30" s="153">
        <f>After!I68-Before!I68</f>
        <v>0</v>
      </c>
      <c r="J30" s="153">
        <f>After!J68-Before!J68</f>
        <v>0</v>
      </c>
      <c r="K30" s="177">
        <f>SUM(E30:J30)</f>
        <v>0</v>
      </c>
      <c r="L30" s="151"/>
      <c r="M30" s="153"/>
      <c r="N30" s="151"/>
      <c r="O30" s="178"/>
      <c r="S30" s="63">
        <v>24</v>
      </c>
      <c r="T30" s="64">
        <f>IF(ISERROR($V30),0,MAX(((T29+Assumptions!$C$40)*(1+$V30))-Assumptions!$C$40,0))</f>
        <v>0</v>
      </c>
      <c r="U30" s="64">
        <f>IF(ISERROR($V30),0,MAX(((U29+(Assumptions!$C$40*aftCOC*(MIN((S30-5),1/aftCOC))))*(1+$V30))-(Assumptions!$C$40*aftCOC*(MIN((S30-5),1/aftCOC))),0))</f>
        <v>0</v>
      </c>
      <c r="V30" s="76">
        <f>IF(S30&lt;=Assumptions!$C$37,$W$11-($W$11*(S30-S$11)/(Assumptions!$C$37-5)),-(((S30-Assumptions!$C$37)/(Assumptions!$C$38-Assumptions!$C$37))^5))</f>
        <v>0.0010000000000000009</v>
      </c>
      <c r="W30" s="66"/>
      <c r="X30" s="70"/>
      <c r="Y30" s="71">
        <f>T30/(1+aftCOC)^IF(Assumptions!$C$26="End",$S30,$S30-0.5)</f>
        <v>0</v>
      </c>
      <c r="Z30" s="71">
        <f>U30/(1+aftCOC)^IF(Assumptions!$C$26="End",$S30,$S30-0.5)</f>
        <v>0</v>
      </c>
      <c r="AA30" s="67"/>
      <c r="AB30" s="67"/>
      <c r="AC30" s="67"/>
      <c r="AD30" s="73">
        <f>IF(Assumptions!$T$33=TRUE,IF(Assumptions!$T$35=1,(((AD29+Assumptions!$C$40)*(1+$W$11)-Assumptions!$C$40)),T30),"")</f>
        <v>0</v>
      </c>
      <c r="AE30" s="73">
        <f>IF(Assumptions!$T$33=TRUE,IF(Assumptions!$T$35=1,(((AE29+(Assumptions!$C$40*aftCOC*(MIN((S30-5),1/aftCOC))))*(1+$W$11))-(Assumptions!$C$40*aftCOC*(MIN((S30-5),1/aftCOC)))),U30),"")</f>
        <v>0</v>
      </c>
    </row>
    <row r="31" spans="2:31" ht="12.75">
      <c r="B31" s="156" t="s">
        <v>139</v>
      </c>
      <c r="C31" s="151" t="s">
        <v>9</v>
      </c>
      <c r="D31" s="151"/>
      <c r="E31" s="153">
        <f>After!E69-Before!E69</f>
        <v>0</v>
      </c>
      <c r="F31" s="153">
        <f>After!F69-Before!F69</f>
        <v>0</v>
      </c>
      <c r="G31" s="153">
        <f>After!G69-Before!G69</f>
        <v>0</v>
      </c>
      <c r="H31" s="153">
        <f>After!H69-Before!H69</f>
        <v>0</v>
      </c>
      <c r="I31" s="153">
        <f>After!I69-Before!I69</f>
        <v>0</v>
      </c>
      <c r="J31" s="153">
        <f>After!J69-Before!J69</f>
        <v>0</v>
      </c>
      <c r="K31" s="177">
        <f>SUM(E31:J31)</f>
        <v>0</v>
      </c>
      <c r="L31" s="151"/>
      <c r="M31" s="153"/>
      <c r="N31" s="151"/>
      <c r="O31" s="178"/>
      <c r="S31" s="63">
        <v>25</v>
      </c>
      <c r="T31" s="64">
        <f>IF(ISERROR($V31),0,MAX(((T30+Assumptions!$C$40)*(1+$V31))-Assumptions!$C$40,0))</f>
        <v>0</v>
      </c>
      <c r="U31" s="64">
        <f>IF(ISERROR($V31),0,MAX(((U30+(Assumptions!$C$40*aftCOC*(MIN((S31-5),1/aftCOC))))*(1+$V31))-(Assumptions!$C$40*aftCOC*(MIN((S31-5),1/aftCOC))),0))</f>
        <v>0</v>
      </c>
      <c r="V31" s="76">
        <f>IF(S31&lt;=Assumptions!$C$37,$W$11-($W$11*(S31-S$11)/(Assumptions!$C$37-5)),-(((S31-Assumptions!$C$37)/(Assumptions!$C$38-Assumptions!$C$37))^5))</f>
        <v>0</v>
      </c>
      <c r="W31" s="66"/>
      <c r="X31" s="70"/>
      <c r="Y31" s="71">
        <f>T31/(1+aftCOC)^IF(Assumptions!$C$26="End",$S31,$S31-0.5)</f>
        <v>0</v>
      </c>
      <c r="Z31" s="71">
        <f>U31/(1+aftCOC)^IF(Assumptions!$C$26="End",$S31,$S31-0.5)</f>
        <v>0</v>
      </c>
      <c r="AA31" s="67"/>
      <c r="AB31" s="67"/>
      <c r="AC31" s="67"/>
      <c r="AD31" s="73">
        <f>IF(Assumptions!$T$33=TRUE,IF(Assumptions!$T$35=1,(((AD30+Assumptions!$C$40)*(1+$W$11)-Assumptions!$C$40)),T31),"")</f>
        <v>0</v>
      </c>
      <c r="AE31" s="73">
        <f>IF(Assumptions!$T$33=TRUE,IF(Assumptions!$T$35=1,(((AE30+(Assumptions!$C$40*aftCOC*(MIN((S31-5),1/aftCOC))))*(1+$W$11))-(Assumptions!$C$40*aftCOC*(MIN((S31-5),1/aftCOC)))),U31),"")</f>
        <v>0</v>
      </c>
    </row>
    <row r="32" spans="2:31" ht="12.75">
      <c r="B32" s="156" t="s">
        <v>146</v>
      </c>
      <c r="C32" s="151" t="s">
        <v>80</v>
      </c>
      <c r="D32" s="151"/>
      <c r="E32" s="153">
        <f>After!E70-Before!E70</f>
        <v>0</v>
      </c>
      <c r="F32" s="153">
        <f>After!F70-Before!F70</f>
        <v>0</v>
      </c>
      <c r="G32" s="153">
        <f>After!G70-Before!G70</f>
        <v>0</v>
      </c>
      <c r="H32" s="153">
        <f>After!H70-Before!H70</f>
        <v>0</v>
      </c>
      <c r="I32" s="153">
        <f>After!I70-Before!I70</f>
        <v>0</v>
      </c>
      <c r="J32" s="153">
        <f>After!J70-Before!J70</f>
        <v>0</v>
      </c>
      <c r="K32" s="179">
        <f>SUM(E32:J32)</f>
        <v>0</v>
      </c>
      <c r="L32" s="151"/>
      <c r="M32" s="153">
        <f>After!M70-Before!M70</f>
        <v>0</v>
      </c>
      <c r="N32" s="151"/>
      <c r="O32" s="178"/>
      <c r="S32" s="63">
        <v>26</v>
      </c>
      <c r="T32" s="64">
        <f>IF(ISERROR($V32),0,MAX(((T31+Assumptions!$C$40)*(1+$V32))-Assumptions!$C$40,0))</f>
        <v>0</v>
      </c>
      <c r="U32" s="64">
        <f>IF(ISERROR($V32),0,MAX(((U31+(Assumptions!$C$40*aftCOC*(MIN((S32-5),1/aftCOC))))*(1+$V32))-(Assumptions!$C$40*aftCOC*(MIN((S32-5),1/aftCOC))),0))</f>
        <v>0</v>
      </c>
      <c r="V32" s="76">
        <f>IF(S32&lt;=Assumptions!$C$37,$W$11-($W$11*(S32-S$11)/(Assumptions!$C$37-5)),-(((S32-Assumptions!$C$37)/(Assumptions!$C$38-Assumptions!$C$37))^5))</f>
        <v>-1.3168724279835392E-06</v>
      </c>
      <c r="W32" s="66"/>
      <c r="X32" s="70"/>
      <c r="Y32" s="71">
        <f>T32/(1+aftCOC)^IF(Assumptions!$C$26="End",$S32,$S32-0.5)</f>
        <v>0</v>
      </c>
      <c r="Z32" s="71">
        <f>U32/(1+aftCOC)^IF(Assumptions!$C$26="End",$S32,$S32-0.5)</f>
        <v>0</v>
      </c>
      <c r="AA32" s="67"/>
      <c r="AB32" s="67"/>
      <c r="AC32" s="67"/>
      <c r="AD32" s="73">
        <f>IF(Assumptions!$T$33=TRUE,IF(Assumptions!$T$35=1,(((AD31+Assumptions!$C$40)*(1+$W$11)-Assumptions!$C$40)),T32),"")</f>
        <v>0</v>
      </c>
      <c r="AE32" s="73">
        <f>IF(Assumptions!$T$33=TRUE,IF(Assumptions!$T$35=1,(((AE31+(Assumptions!$C$40*aftCOC*(MIN((S32-5),1/aftCOC))))*(1+$W$11))-(Assumptions!$C$40*aftCOC*(MIN((S32-5),1/aftCOC)))),U32),"")</f>
        <v>0</v>
      </c>
    </row>
    <row r="33" spans="2:31" ht="13.5" thickBot="1">
      <c r="B33" s="156"/>
      <c r="C33" s="163" t="s">
        <v>81</v>
      </c>
      <c r="D33" s="151"/>
      <c r="E33" s="166">
        <f aca="true" t="shared" si="7" ref="E33:J33">E28+SUM(E30:E32)</f>
        <v>0</v>
      </c>
      <c r="F33" s="166">
        <f t="shared" si="7"/>
        <v>0</v>
      </c>
      <c r="G33" s="166">
        <f t="shared" si="7"/>
        <v>0</v>
      </c>
      <c r="H33" s="166">
        <f t="shared" si="7"/>
        <v>0</v>
      </c>
      <c r="I33" s="166">
        <f t="shared" si="7"/>
        <v>0</v>
      </c>
      <c r="J33" s="166">
        <f t="shared" si="7"/>
        <v>0</v>
      </c>
      <c r="K33" s="180">
        <f>SUM(E33:J33)</f>
        <v>0</v>
      </c>
      <c r="L33" s="151"/>
      <c r="M33" s="166">
        <f>M28+SUM(M30:M32)</f>
        <v>0</v>
      </c>
      <c r="N33" s="151"/>
      <c r="O33" s="178"/>
      <c r="S33" s="63">
        <v>27</v>
      </c>
      <c r="T33" s="64">
        <f>IF(ISERROR($V33),0,MAX(((T32+Assumptions!$C$40)*(1+$V33))-Assumptions!$C$40,0))</f>
        <v>0</v>
      </c>
      <c r="U33" s="64">
        <f>IF(ISERROR($V33),0,MAX(((U32+(Assumptions!$C$40*aftCOC*(MIN((S33-5),1/aftCOC))))*(1+$V33))-(Assumptions!$C$40*aftCOC*(MIN((S33-5),1/aftCOC))),0))</f>
        <v>0</v>
      </c>
      <c r="V33" s="76">
        <f>IF(S33&lt;=Assumptions!$C$37,$W$11-($W$11*(S33-S$11)/(Assumptions!$C$37-5)),-(((S33-Assumptions!$C$37)/(Assumptions!$C$38-Assumptions!$C$37))^5))</f>
        <v>-4.213991769547325E-05</v>
      </c>
      <c r="W33" s="66"/>
      <c r="X33" s="70"/>
      <c r="Y33" s="71">
        <f>T33/(1+aftCOC)^IF(Assumptions!$C$26="End",$S33,$S33-0.5)</f>
        <v>0</v>
      </c>
      <c r="Z33" s="71">
        <f>U33/(1+aftCOC)^IF(Assumptions!$C$26="End",$S33,$S33-0.5)</f>
        <v>0</v>
      </c>
      <c r="AA33" s="67"/>
      <c r="AB33" s="67"/>
      <c r="AC33" s="67"/>
      <c r="AD33" s="73">
        <f>IF(Assumptions!$T$33=TRUE,IF(Assumptions!$T$35=1,(((AD32+Assumptions!$C$40)*(1+$W$11)-Assumptions!$C$40)),T33),"")</f>
        <v>0</v>
      </c>
      <c r="AE33" s="73">
        <f>IF(Assumptions!$T$33=TRUE,IF(Assumptions!$T$35=1,(((AE32+(Assumptions!$C$40*aftCOC*(MIN((S33-5),1/aftCOC))))*(1+$W$11))-(Assumptions!$C$40*aftCOC*(MIN((S33-5),1/aftCOC)))),U33),"")</f>
        <v>0</v>
      </c>
    </row>
    <row r="34" spans="2:31" ht="5.25" customHeight="1">
      <c r="B34" s="156"/>
      <c r="C34" s="151"/>
      <c r="D34" s="151"/>
      <c r="E34" s="153"/>
      <c r="F34" s="153"/>
      <c r="G34" s="153"/>
      <c r="H34" s="153"/>
      <c r="I34" s="153"/>
      <c r="J34" s="153"/>
      <c r="K34" s="153"/>
      <c r="L34" s="153"/>
      <c r="M34" s="151"/>
      <c r="N34" s="151"/>
      <c r="O34" s="178"/>
      <c r="S34" s="63">
        <v>28</v>
      </c>
      <c r="T34" s="64">
        <f>IF(ISERROR($V34),0,MAX(((T33+Assumptions!$C$40)*(1+$V34))-Assumptions!$C$40,0))</f>
        <v>0</v>
      </c>
      <c r="U34" s="64">
        <f>IF(ISERROR($V34),0,MAX(((U33+(Assumptions!$C$40*aftCOC*(MIN((S34-5),1/aftCOC))))*(1+$V34))-(Assumptions!$C$40*aftCOC*(MIN((S34-5),1/aftCOC))),0))</f>
        <v>0</v>
      </c>
      <c r="V34" s="76">
        <f>IF(S34&lt;=Assumptions!$C$37,$W$11-($W$11*(S34-S$11)/(Assumptions!$C$37-5)),-(((S34-Assumptions!$C$37)/(Assumptions!$C$38-Assumptions!$C$37))^5))</f>
        <v>-0.0003200000000000002</v>
      </c>
      <c r="W34" s="66"/>
      <c r="X34" s="70"/>
      <c r="Y34" s="71">
        <f>T34/(1+aftCOC)^IF(Assumptions!$C$26="End",$S34,$S34-0.5)</f>
        <v>0</v>
      </c>
      <c r="Z34" s="71">
        <f>U34/(1+aftCOC)^IF(Assumptions!$C$26="End",$S34,$S34-0.5)</f>
        <v>0</v>
      </c>
      <c r="AA34" s="67"/>
      <c r="AB34" s="67"/>
      <c r="AC34" s="67"/>
      <c r="AD34" s="73">
        <f>IF(Assumptions!$T$33=TRUE,IF(Assumptions!$T$35=1,(((AD33+Assumptions!$C$40)*(1+$W$11)-Assumptions!$C$40)),T34),"")</f>
        <v>0</v>
      </c>
      <c r="AE34" s="73">
        <f>IF(Assumptions!$T$33=TRUE,IF(Assumptions!$T$35=1,(((AE33+(Assumptions!$C$40*aftCOC*(MIN((S34-5),1/aftCOC))))*(1+$W$11))-(Assumptions!$C$40*aftCOC*(MIN((S34-5),1/aftCOC)))),U34),"")</f>
        <v>0</v>
      </c>
    </row>
    <row r="35" spans="2:31" ht="12.75">
      <c r="B35" s="156"/>
      <c r="C35" s="163" t="s">
        <v>183</v>
      </c>
      <c r="D35" s="151"/>
      <c r="E35" s="181">
        <f>After!E75-Before!E75</f>
        <v>0</v>
      </c>
      <c r="F35" s="239">
        <f>IF(ISERROR(E35/E39),"",E35/E39)</f>
      </c>
      <c r="G35" s="153"/>
      <c r="H35" s="153"/>
      <c r="I35" s="153"/>
      <c r="J35" s="153"/>
      <c r="K35" s="153"/>
      <c r="L35" s="153"/>
      <c r="M35" s="151"/>
      <c r="N35" s="151"/>
      <c r="O35" s="178"/>
      <c r="S35" s="63">
        <v>29</v>
      </c>
      <c r="T35" s="64">
        <f>IF(ISERROR($V35),0,MAX(((T34+Assumptions!$C$40)*(1+$V35))-Assumptions!$C$40,0))</f>
        <v>0</v>
      </c>
      <c r="U35" s="64">
        <f>IF(ISERROR($V35),0,MAX(((U34+(Assumptions!$C$40*aftCOC*(MIN((S35-5),1/aftCOC))))*(1+$V35))-(Assumptions!$C$40*aftCOC*(MIN((S35-5),1/aftCOC))),0))</f>
        <v>0</v>
      </c>
      <c r="V35" s="76">
        <f>IF(S35&lt;=Assumptions!$C$37,$W$11-($W$11*(S35-S$11)/(Assumptions!$C$37-5)),-(((S35-Assumptions!$C$37)/(Assumptions!$C$38-Assumptions!$C$37))^5))</f>
        <v>-0.001348477366255144</v>
      </c>
      <c r="W35" s="66"/>
      <c r="X35" s="70"/>
      <c r="Y35" s="71">
        <f>T35/(1+aftCOC)^IF(Assumptions!$C$26="End",$S35,$S35-0.5)</f>
        <v>0</v>
      </c>
      <c r="Z35" s="71">
        <f>U35/(1+aftCOC)^IF(Assumptions!$C$26="End",$S35,$S35-0.5)</f>
        <v>0</v>
      </c>
      <c r="AA35" s="67"/>
      <c r="AB35" s="67"/>
      <c r="AC35" s="67"/>
      <c r="AD35" s="73">
        <f>IF(Assumptions!$T$33=TRUE,IF(Assumptions!$T$35=1,(((AD34+Assumptions!$C$40)*(1+$W$11)-Assumptions!$C$40)),T35),"")</f>
        <v>0</v>
      </c>
      <c r="AE35" s="73">
        <f>IF(Assumptions!$T$33=TRUE,IF(Assumptions!$T$35=1,(((AE34+(Assumptions!$C$40*aftCOC*(MIN((S35-5),1/aftCOC))))*(1+$W$11))-(Assumptions!$C$40*aftCOC*(MIN((S35-5),1/aftCOC)))),U35),"")</f>
        <v>0</v>
      </c>
    </row>
    <row r="36" spans="2:31" ht="4.5" customHeight="1">
      <c r="B36" s="156"/>
      <c r="C36" s="163"/>
      <c r="D36" s="151"/>
      <c r="E36" s="182"/>
      <c r="F36" s="239"/>
      <c r="G36" s="153"/>
      <c r="H36" s="153"/>
      <c r="I36" s="153"/>
      <c r="J36" s="153"/>
      <c r="K36" s="153"/>
      <c r="L36" s="153"/>
      <c r="M36" s="151"/>
      <c r="N36" s="151"/>
      <c r="O36" s="178"/>
      <c r="S36" s="63">
        <v>30</v>
      </c>
      <c r="T36" s="64">
        <f>IF(ISERROR($V36),0,MAX(((T35+Assumptions!$C$40)*(1+$V36))-Assumptions!$C$40,0))</f>
        <v>0</v>
      </c>
      <c r="U36" s="64">
        <f>IF(ISERROR($V36),0,MAX(((U35+(Assumptions!$C$40*aftCOC*(MIN((S36-5),1/aftCOC))))*(1+$V36))-(Assumptions!$C$40*aftCOC*(MIN((S36-5),1/aftCOC))),0))</f>
        <v>0</v>
      </c>
      <c r="V36" s="76">
        <f>IF(S36&lt;=Assumptions!$C$37,$W$11-($W$11*(S36-S$11)/(Assumptions!$C$37-5)),-(((S36-Assumptions!$C$37)/(Assumptions!$C$38-Assumptions!$C$37))^5))</f>
        <v>-0.004115226337448559</v>
      </c>
      <c r="W36" s="66"/>
      <c r="X36" s="70"/>
      <c r="Y36" s="71">
        <f>T36/(1+aftCOC)^IF(Assumptions!$C$26="End",$S36,$S36-0.5)</f>
        <v>0</v>
      </c>
      <c r="Z36" s="71">
        <f>U36/(1+aftCOC)^IF(Assumptions!$C$26="End",$S36,$S36-0.5)</f>
        <v>0</v>
      </c>
      <c r="AA36" s="67"/>
      <c r="AB36" s="67"/>
      <c r="AC36" s="67"/>
      <c r="AD36" s="73">
        <f>IF(Assumptions!$T$33=TRUE,IF(Assumptions!$T$35=1,(((AD35+Assumptions!$C$40)*(1+$W$11)-Assumptions!$C$40)),T36),"")</f>
        <v>0</v>
      </c>
      <c r="AE36" s="73">
        <f>IF(Assumptions!$T$33=TRUE,IF(Assumptions!$T$35=1,(((AE35+(Assumptions!$C$40*aftCOC*(MIN((S36-5),1/aftCOC))))*(1+$W$11))-(Assumptions!$C$40*aftCOC*(MIN((S36-5),1/aftCOC)))),U36),"")</f>
        <v>0</v>
      </c>
    </row>
    <row r="37" spans="2:31" ht="12.75">
      <c r="B37" s="156"/>
      <c r="C37" s="163" t="str">
        <f>IF(Assumptions!T35=2,"Finite ","Infinite ")&amp;"Terminal Value"</f>
        <v>Infinite Terminal Value</v>
      </c>
      <c r="D37" s="151"/>
      <c r="E37" s="181">
        <f>IF(Assumptions!$T$33=TRUE,(IF(Assumptions!$T$35=1,((J33-Assumptions!$C$40)*(1+IF(Assumptions!$C$35="",(J33-I33)/I33,Assumptions!$C$35))/(aftCOC-IF(Assumptions!$C$35="",(J33-I33)/I33,Assumptions!$C$35))),SUM(Y12:Y106)))*After!K273,0)</f>
        <v>0</v>
      </c>
      <c r="F37" s="239">
        <f>IF(ISERROR(E37/E39),"",E37/E39)</f>
      </c>
      <c r="G37" s="153"/>
      <c r="H37" s="153"/>
      <c r="I37" s="153"/>
      <c r="J37" s="153"/>
      <c r="K37" s="153"/>
      <c r="L37" s="153"/>
      <c r="M37" s="151"/>
      <c r="N37" s="151"/>
      <c r="O37" s="178"/>
      <c r="S37" s="63">
        <v>31</v>
      </c>
      <c r="T37" s="64">
        <f>IF(ISERROR($V37),0,MAX(((T36+Assumptions!$C$40)*(1+$V37))-Assumptions!$C$40,0))</f>
        <v>0</v>
      </c>
      <c r="U37" s="64">
        <f>IF(ISERROR($V37),0,MAX(((U36+(Assumptions!$C$40*aftCOC*(MIN((S37-5),1/aftCOC))))*(1+$V37))-(Assumptions!$C$40*aftCOC*(MIN((S37-5),1/aftCOC))),0))</f>
        <v>0</v>
      </c>
      <c r="V37" s="76">
        <f>IF(S37&lt;=Assumptions!$C$37,$W$11-($W$11*(S37-S$11)/(Assumptions!$C$37-5)),-(((S37-Assumptions!$C$37)/(Assumptions!$C$38-Assumptions!$C$37))^5))</f>
        <v>-0.010240000000000006</v>
      </c>
      <c r="W37" s="66"/>
      <c r="X37" s="70"/>
      <c r="Y37" s="71">
        <f>T37/(1+aftCOC)^IF(Assumptions!$C$26="End",$S37,$S37-0.5)</f>
        <v>0</v>
      </c>
      <c r="Z37" s="71">
        <f>U37/(1+aftCOC)^IF(Assumptions!$C$26="End",$S37,$S37-0.5)</f>
        <v>0</v>
      </c>
      <c r="AA37" s="67"/>
      <c r="AB37" s="67"/>
      <c r="AC37" s="67"/>
      <c r="AD37" s="73">
        <f>IF(Assumptions!$T$33=TRUE,IF(Assumptions!$T$35=1,(((AD36+Assumptions!$C$40)*(1+$W$11)-Assumptions!$C$40)),T37),"")</f>
        <v>0</v>
      </c>
      <c r="AE37" s="73">
        <f>IF(Assumptions!$T$33=TRUE,IF(Assumptions!$T$35=1,(((AE36+(Assumptions!$C$40*aftCOC*(MIN((S37-5),1/aftCOC))))*(1+$W$11))-(Assumptions!$C$40*aftCOC*(MIN((S37-5),1/aftCOC)))),U37),"")</f>
        <v>0</v>
      </c>
    </row>
    <row r="38" spans="2:31" ht="4.5" customHeight="1">
      <c r="B38" s="156"/>
      <c r="C38" s="163"/>
      <c r="D38" s="151"/>
      <c r="E38" s="182"/>
      <c r="F38" s="153"/>
      <c r="G38" s="153"/>
      <c r="H38" s="153"/>
      <c r="I38" s="153"/>
      <c r="J38" s="153"/>
      <c r="K38" s="153"/>
      <c r="L38" s="153"/>
      <c r="M38" s="151"/>
      <c r="N38" s="151"/>
      <c r="O38" s="178"/>
      <c r="S38" s="63">
        <v>32</v>
      </c>
      <c r="T38" s="64">
        <f>IF(ISERROR($V38),0,MAX(((T37+Assumptions!$C$40)*(1+$V38))-Assumptions!$C$40,0))</f>
        <v>0</v>
      </c>
      <c r="U38" s="64">
        <f>IF(ISERROR($V38),0,MAX(((U37+(Assumptions!$C$40*aftCOC*(MIN((S38-5),1/aftCOC))))*(1+$V38))-(Assumptions!$C$40*aftCOC*(MIN((S38-5),1/aftCOC))),0))</f>
        <v>0</v>
      </c>
      <c r="V38" s="76">
        <f>IF(S38&lt;=Assumptions!$C$37,$W$11-($W$11*(S38-S$11)/(Assumptions!$C$37-5)),-(((S38-Assumptions!$C$37)/(Assumptions!$C$38-Assumptions!$C$37))^5))</f>
        <v>-0.022132674897119346</v>
      </c>
      <c r="W38" s="66"/>
      <c r="X38" s="70"/>
      <c r="Y38" s="71">
        <f>T38/(1+aftCOC)^IF(Assumptions!$C$26="End",$S38,$S38-0.5)</f>
        <v>0</v>
      </c>
      <c r="Z38" s="71">
        <f>U38/(1+aftCOC)^IF(Assumptions!$C$26="End",$S38,$S38-0.5)</f>
        <v>0</v>
      </c>
      <c r="AA38" s="67"/>
      <c r="AB38" s="67"/>
      <c r="AC38" s="67"/>
      <c r="AD38" s="73">
        <f>IF(Assumptions!$T$33=TRUE,IF(Assumptions!$T$35=1,(((AD37+Assumptions!$C$40)*(1+$W$11)-Assumptions!$C$40)),T38),"")</f>
        <v>0</v>
      </c>
      <c r="AE38" s="73">
        <f>IF(Assumptions!$T$33=TRUE,IF(Assumptions!$T$35=1,(((AE37+(Assumptions!$C$40*aftCOC*(MIN((S38-5),1/aftCOC))))*(1+$W$11))-(Assumptions!$C$40*aftCOC*(MIN((S38-5),1/aftCOC)))),U38),"")</f>
        <v>0</v>
      </c>
    </row>
    <row r="39" spans="2:31" ht="13.5" thickBot="1">
      <c r="B39" s="156"/>
      <c r="C39" s="163" t="s">
        <v>161</v>
      </c>
      <c r="D39" s="151"/>
      <c r="E39" s="240">
        <f>E35+E37</f>
        <v>0</v>
      </c>
      <c r="F39" s="153"/>
      <c r="G39" s="153"/>
      <c r="H39" s="153"/>
      <c r="I39" s="153"/>
      <c r="J39" s="153"/>
      <c r="K39" s="153"/>
      <c r="L39" s="153"/>
      <c r="M39" s="151"/>
      <c r="N39" s="151"/>
      <c r="O39" s="178"/>
      <c r="S39" s="63">
        <v>33</v>
      </c>
      <c r="T39" s="64">
        <f>IF(ISERROR($V39),0,MAX(((T38+Assumptions!$C$40)*(1+$V39))-Assumptions!$C$40,0))</f>
        <v>0</v>
      </c>
      <c r="U39" s="64">
        <f>IF(ISERROR($V39),0,MAX(((U38+(Assumptions!$C$40*aftCOC*(MIN((S39-5),1/aftCOC))))*(1+$V39))-(Assumptions!$C$40*aftCOC*(MIN((S39-5),1/aftCOC))),0))</f>
        <v>0</v>
      </c>
      <c r="V39" s="76">
        <f>IF(S39&lt;=Assumptions!$C$37,$W$11-($W$11*(S39-S$11)/(Assumptions!$C$37-5)),-(((S39-Assumptions!$C$37)/(Assumptions!$C$38-Assumptions!$C$37))^5))</f>
        <v>-0.04315127572016461</v>
      </c>
      <c r="W39" s="66"/>
      <c r="X39" s="70"/>
      <c r="Y39" s="71">
        <f>T39/(1+aftCOC)^IF(Assumptions!$C$26="End",$S39,$S39-0.5)</f>
        <v>0</v>
      </c>
      <c r="Z39" s="71">
        <f>U39/(1+aftCOC)^IF(Assumptions!$C$26="End",$S39,$S39-0.5)</f>
        <v>0</v>
      </c>
      <c r="AA39" s="67"/>
      <c r="AB39" s="67"/>
      <c r="AC39" s="67"/>
      <c r="AD39" s="73">
        <f>IF(Assumptions!$T$33=TRUE,IF(Assumptions!$T$35=1,(((AD38+Assumptions!$C$40)*(1+$W$11)-Assumptions!$C$40)),T39),"")</f>
        <v>0</v>
      </c>
      <c r="AE39" s="73">
        <f>IF(Assumptions!$T$33=TRUE,IF(Assumptions!$T$35=1,(((AE38+(Assumptions!$C$40*aftCOC*(MIN((S39-5),1/aftCOC))))*(1+$W$11))-(Assumptions!$C$40*aftCOC*(MIN((S39-5),1/aftCOC)))),U39),"")</f>
        <v>0</v>
      </c>
    </row>
    <row r="40" spans="2:31" ht="7.5" customHeight="1" thickTop="1">
      <c r="B40" s="168"/>
      <c r="C40" s="169"/>
      <c r="D40" s="183"/>
      <c r="E40" s="170"/>
      <c r="F40" s="184"/>
      <c r="G40" s="184"/>
      <c r="H40" s="184"/>
      <c r="I40" s="184"/>
      <c r="J40" s="184"/>
      <c r="K40" s="184"/>
      <c r="L40" s="184"/>
      <c r="M40" s="183"/>
      <c r="N40" s="183"/>
      <c r="O40" s="185"/>
      <c r="S40" s="63">
        <v>34</v>
      </c>
      <c r="T40" s="64">
        <f>IF(ISERROR($V40),0,MAX(((T39+Assumptions!$C$40)*(1+$V40))-Assumptions!$C$40,0))</f>
        <v>0</v>
      </c>
      <c r="U40" s="64">
        <f>IF(ISERROR($V40),0,MAX(((U39+(Assumptions!$C$40*aftCOC*(MIN((S40-5),1/aftCOC))))*(1+$V40))-(Assumptions!$C$40*aftCOC*(MIN((S40-5),1/aftCOC))),0))</f>
        <v>0</v>
      </c>
      <c r="V40" s="76">
        <f>IF(S40&lt;=Assumptions!$C$37,$W$11-($W$11*(S40-S$11)/(Assumptions!$C$37-5)),-(((S40-Assumptions!$C$37)/(Assumptions!$C$38-Assumptions!$C$37))^5))</f>
        <v>-0.07776</v>
      </c>
      <c r="W40" s="66"/>
      <c r="X40" s="70"/>
      <c r="Y40" s="71">
        <f>T40/(1+aftCOC)^IF(Assumptions!$C$26="End",$S40,$S40-0.5)</f>
        <v>0</v>
      </c>
      <c r="Z40" s="71">
        <f>U40/(1+aftCOC)^IF(Assumptions!$C$26="End",$S40,$S40-0.5)</f>
        <v>0</v>
      </c>
      <c r="AA40" s="67"/>
      <c r="AB40" s="67"/>
      <c r="AC40" s="67"/>
      <c r="AD40" s="73">
        <f>IF(Assumptions!$T$33=TRUE,IF(Assumptions!$T$35=1,(((AD39+Assumptions!$C$40)*(1+$W$11)-Assumptions!$C$40)),T40),"")</f>
        <v>0</v>
      </c>
      <c r="AE40" s="73">
        <f>IF(Assumptions!$T$33=TRUE,IF(Assumptions!$T$35=1,(((AE39+(Assumptions!$C$40*aftCOC*(MIN((S40-5),1/aftCOC))))*(1+$W$11))-(Assumptions!$C$40*aftCOC*(MIN((S40-5),1/aftCOC)))),U40),"")</f>
        <v>0</v>
      </c>
    </row>
    <row r="41" spans="2:31" ht="6.75" customHeight="1">
      <c r="B41" s="172"/>
      <c r="C41" s="143"/>
      <c r="D41" s="143"/>
      <c r="E41" s="182"/>
      <c r="F41" s="155"/>
      <c r="G41" s="155"/>
      <c r="H41" s="155"/>
      <c r="I41" s="155"/>
      <c r="J41" s="155"/>
      <c r="K41" s="155"/>
      <c r="L41" s="155"/>
      <c r="M41" s="143"/>
      <c r="N41" s="143"/>
      <c r="O41" s="151"/>
      <c r="S41" s="63">
        <v>35</v>
      </c>
      <c r="T41" s="64">
        <f>IF(ISERROR($V41),0,MAX(((T40+Assumptions!$C$40)*(1+$V41))-Assumptions!$C$40,0))</f>
        <v>0</v>
      </c>
      <c r="U41" s="64">
        <f>IF(ISERROR($V41),0,MAX(((U40+(Assumptions!$C$40*aftCOC*(MIN((S41-5),1/aftCOC))))*(1+$V41))-(Assumptions!$C$40*aftCOC*(MIN((S41-5),1/aftCOC))),0))</f>
        <v>0</v>
      </c>
      <c r="V41" s="76">
        <f>IF(S41&lt;=Assumptions!$C$37,$W$11-($W$11*(S41-S$11)/(Assumptions!$C$37-5)),-(((S41-Assumptions!$C$37)/(Assumptions!$C$38-Assumptions!$C$37))^5))</f>
        <v>-0.1316872427983539</v>
      </c>
      <c r="W41" s="66"/>
      <c r="X41" s="70"/>
      <c r="Y41" s="71">
        <f>T41/(1+aftCOC)^IF(Assumptions!$C$26="End",$S41,$S41-0.5)</f>
        <v>0</v>
      </c>
      <c r="Z41" s="71">
        <f>U41/(1+aftCOC)^IF(Assumptions!$C$26="End",$S41,$S41-0.5)</f>
        <v>0</v>
      </c>
      <c r="AA41" s="67"/>
      <c r="AB41" s="67"/>
      <c r="AC41" s="67"/>
      <c r="AD41" s="73">
        <f>IF(Assumptions!$T$33=TRUE,IF(Assumptions!$T$35=1,(((AD40+Assumptions!$C$40)*(1+$W$11)-Assumptions!$C$40)),T41),"")</f>
        <v>0</v>
      </c>
      <c r="AE41" s="73">
        <f>IF(Assumptions!$T$33=TRUE,IF(Assumptions!$T$35=1,(((AE40+(Assumptions!$C$40*aftCOC*(MIN((S41-5),1/aftCOC))))*(1+$W$11))-(Assumptions!$C$40*aftCOC*(MIN((S41-5),1/aftCOC)))),U41),"")</f>
        <v>0</v>
      </c>
    </row>
    <row r="42" spans="2:31" ht="12.75">
      <c r="B42" s="238" t="str">
        <f>B4</f>
        <v>$000</v>
      </c>
      <c r="C42" s="146" t="s">
        <v>85</v>
      </c>
      <c r="D42" s="147"/>
      <c r="E42" s="148">
        <f aca="true" t="shared" si="8" ref="E42:J42">E4</f>
        <v>2010</v>
      </c>
      <c r="F42" s="148">
        <f t="shared" si="8"/>
        <v>2011</v>
      </c>
      <c r="G42" s="148">
        <f t="shared" si="8"/>
        <v>2012</v>
      </c>
      <c r="H42" s="148">
        <f t="shared" si="8"/>
        <v>2013</v>
      </c>
      <c r="I42" s="148">
        <f t="shared" si="8"/>
        <v>2014</v>
      </c>
      <c r="J42" s="148">
        <f t="shared" si="8"/>
        <v>2015</v>
      </c>
      <c r="K42" s="174" t="s">
        <v>6</v>
      </c>
      <c r="L42" s="175" t="s">
        <v>156</v>
      </c>
      <c r="M42" s="147"/>
      <c r="N42" s="147"/>
      <c r="O42" s="176"/>
      <c r="S42" s="63">
        <v>36</v>
      </c>
      <c r="T42" s="64">
        <f>IF(ISERROR($V42),0,MAX(((T41+Assumptions!$C$40)*(1+$V42))-Assumptions!$C$40,0))</f>
        <v>0</v>
      </c>
      <c r="U42" s="64">
        <f>IF(ISERROR($V42),0,MAX(((U41+(Assumptions!$C$40*aftCOC*(MIN((S42-5),1/aftCOC))))*(1+$V42))-(Assumptions!$C$40*aftCOC*(MIN((S42-5),1/aftCOC))),0))</f>
        <v>0</v>
      </c>
      <c r="V42" s="76">
        <f>IF(S42&lt;=Assumptions!$C$37,$W$11-($W$11*(S42-S$11)/(Assumptions!$C$37-5)),-(((S42-Assumptions!$C$37)/(Assumptions!$C$38-Assumptions!$C$37))^5))</f>
        <v>-0.21208362139917686</v>
      </c>
      <c r="W42" s="66"/>
      <c r="X42" s="70"/>
      <c r="Y42" s="71">
        <f>T42/(1+aftCOC)^IF(Assumptions!$C$26="End",$S42,$S42-0.5)</f>
        <v>0</v>
      </c>
      <c r="Z42" s="71">
        <f>U42/(1+aftCOC)^IF(Assumptions!$C$26="End",$S42,$S42-0.5)</f>
        <v>0</v>
      </c>
      <c r="AA42" s="67"/>
      <c r="AB42" s="67"/>
      <c r="AC42" s="67"/>
      <c r="AD42" s="73">
        <f>IF(Assumptions!$T$33=TRUE,IF(Assumptions!$T$35=1,(((AD41+Assumptions!$C$40)*(1+$W$11)-Assumptions!$C$40)),T42),"")</f>
        <v>0</v>
      </c>
      <c r="AE42" s="73">
        <f>IF(Assumptions!$T$33=TRUE,IF(Assumptions!$T$35=1,(((AE41+(Assumptions!$C$40*aftCOC*(MIN((S42-5),1/aftCOC))))*(1+$W$11))-(Assumptions!$C$40*aftCOC*(MIN((S42-5),1/aftCOC)))),U42),"")</f>
        <v>0</v>
      </c>
    </row>
    <row r="43" spans="2:31" ht="12.75">
      <c r="B43" s="156"/>
      <c r="C43" s="151"/>
      <c r="D43" s="151"/>
      <c r="E43" s="153"/>
      <c r="F43" s="153"/>
      <c r="G43" s="153"/>
      <c r="H43" s="153"/>
      <c r="I43" s="153"/>
      <c r="J43" s="153"/>
      <c r="K43" s="177"/>
      <c r="L43" s="153"/>
      <c r="M43" s="151"/>
      <c r="N43" s="151"/>
      <c r="O43" s="178"/>
      <c r="S43" s="63">
        <v>37</v>
      </c>
      <c r="T43" s="64">
        <f>IF(ISERROR($V43),0,MAX(((T42+Assumptions!$C$40)*(1+$V43))-Assumptions!$C$40,0))</f>
        <v>0</v>
      </c>
      <c r="U43" s="64">
        <f>IF(ISERROR($V43),0,MAX(((U42+(Assumptions!$C$40*aftCOC*(MIN((S43-5),1/aftCOC))))*(1+$V43))-(Assumptions!$C$40*aftCOC*(MIN((S43-5),1/aftCOC))),0))</f>
        <v>0</v>
      </c>
      <c r="V43" s="76">
        <f>IF(S43&lt;=Assumptions!$C$37,$W$11-($W$11*(S43-S$11)/(Assumptions!$C$37-5)),-(((S43-Assumptions!$C$37)/(Assumptions!$C$38-Assumptions!$C$37))^5))</f>
        <v>-0.3276800000000002</v>
      </c>
      <c r="W43" s="66"/>
      <c r="X43" s="70"/>
      <c r="Y43" s="71">
        <f>T43/(1+aftCOC)^IF(Assumptions!$C$26="End",$S43,$S43-0.5)</f>
        <v>0</v>
      </c>
      <c r="Z43" s="71">
        <f>U43/(1+aftCOC)^IF(Assumptions!$C$26="End",$S43,$S43-0.5)</f>
        <v>0</v>
      </c>
      <c r="AA43" s="67"/>
      <c r="AB43" s="67"/>
      <c r="AC43" s="67"/>
      <c r="AD43" s="73">
        <f>IF(Assumptions!$T$33=TRUE,IF(Assumptions!$T$35=1,(((AD42+Assumptions!$C$40)*(1+$W$11)-Assumptions!$C$40)),T43),"")</f>
        <v>0</v>
      </c>
      <c r="AE43" s="73">
        <f>IF(Assumptions!$T$33=TRUE,IF(Assumptions!$T$35=1,(((AE42+(Assumptions!$C$40*aftCOC*(MIN((S43-5),1/aftCOC))))*(1+$W$11))-(Assumptions!$C$40*aftCOC*(MIN((S43-5),1/aftCOC)))),U43),"")</f>
        <v>0</v>
      </c>
    </row>
    <row r="44" spans="2:31" ht="12.75">
      <c r="B44" s="156"/>
      <c r="C44" s="151" t="s">
        <v>138</v>
      </c>
      <c r="D44" s="151"/>
      <c r="E44" s="153">
        <f>After!E80-Before!E80</f>
        <v>0</v>
      </c>
      <c r="F44" s="153">
        <f>After!F80-Before!F80</f>
        <v>0</v>
      </c>
      <c r="G44" s="153">
        <f>After!G80-Before!G80</f>
        <v>0</v>
      </c>
      <c r="H44" s="153">
        <f>After!H80-Before!H80</f>
        <v>0</v>
      </c>
      <c r="I44" s="153">
        <f>After!I80-Before!I80</f>
        <v>0</v>
      </c>
      <c r="J44" s="153">
        <f>After!J80-Before!J80</f>
        <v>0</v>
      </c>
      <c r="K44" s="177">
        <f aca="true" t="shared" si="9" ref="K44:K50">SUM(E44:J44)</f>
        <v>0</v>
      </c>
      <c r="L44" s="153"/>
      <c r="M44" s="151"/>
      <c r="N44" s="151"/>
      <c r="O44" s="178"/>
      <c r="S44" s="63">
        <v>38</v>
      </c>
      <c r="T44" s="64">
        <f>IF(ISERROR($V44),0,MAX(((T43+Assumptions!$C$40)*(1+$V44))-Assumptions!$C$40,0))</f>
        <v>0</v>
      </c>
      <c r="U44" s="64">
        <f>IF(ISERROR($V44),0,MAX(((U43+(Assumptions!$C$40*aftCOC*(MIN((S44-5),1/aftCOC))))*(1+$V44))-(Assumptions!$C$40*aftCOC*(MIN((S44-5),1/aftCOC))),0))</f>
        <v>0</v>
      </c>
      <c r="V44" s="76">
        <f>IF(S44&lt;=Assumptions!$C$37,$W$11-($W$11*(S44-S$11)/(Assumptions!$C$37-5)),-(((S44-Assumptions!$C$37)/(Assumptions!$C$38-Assumptions!$C$37))^5))</f>
        <v>-0.48894551440329226</v>
      </c>
      <c r="W44" s="66"/>
      <c r="X44" s="70"/>
      <c r="Y44" s="71">
        <f>T44/(1+aftCOC)^IF(Assumptions!$C$26="End",$S44,$S44-0.5)</f>
        <v>0</v>
      </c>
      <c r="Z44" s="71">
        <f>U44/(1+aftCOC)^IF(Assumptions!$C$26="End",$S44,$S44-0.5)</f>
        <v>0</v>
      </c>
      <c r="AA44" s="67"/>
      <c r="AB44" s="67"/>
      <c r="AC44" s="67"/>
      <c r="AD44" s="73">
        <f>IF(Assumptions!$T$33=TRUE,IF(Assumptions!$T$35=1,(((AD43+Assumptions!$C$40)*(1+$W$11)-Assumptions!$C$40)),T44),"")</f>
        <v>0</v>
      </c>
      <c r="AE44" s="73">
        <f>IF(Assumptions!$T$33=TRUE,IF(Assumptions!$T$35=1,(((AE43+(Assumptions!$C$40*aftCOC*(MIN((S44-5),1/aftCOC))))*(1+$W$11))-(Assumptions!$C$40*aftCOC*(MIN((S44-5),1/aftCOC)))),U44),"")</f>
        <v>0</v>
      </c>
    </row>
    <row r="45" spans="2:31" ht="12.75">
      <c r="B45" s="156" t="s">
        <v>139</v>
      </c>
      <c r="C45" s="151" t="s">
        <v>17</v>
      </c>
      <c r="D45" s="151"/>
      <c r="E45" s="153">
        <f>After!E81-Before!E81</f>
        <v>0</v>
      </c>
      <c r="F45" s="153">
        <f>After!F81-Before!F81</f>
        <v>0</v>
      </c>
      <c r="G45" s="153">
        <f>After!G81-Before!G81</f>
        <v>0</v>
      </c>
      <c r="H45" s="153">
        <f>After!H81-Before!H81</f>
        <v>0</v>
      </c>
      <c r="I45" s="153">
        <f>After!I81-Before!I81</f>
        <v>0</v>
      </c>
      <c r="J45" s="153">
        <f>After!J81-Before!J81</f>
        <v>0</v>
      </c>
      <c r="K45" s="177">
        <f t="shared" si="9"/>
        <v>0</v>
      </c>
      <c r="L45" s="153"/>
      <c r="M45" s="151"/>
      <c r="N45" s="151"/>
      <c r="O45" s="178"/>
      <c r="S45" s="63">
        <v>39</v>
      </c>
      <c r="T45" s="64">
        <f>IF(ISERROR($V45),0,MAX(((T44+Assumptions!$C$40)*(1+$V45))-Assumptions!$C$40,0))</f>
        <v>0</v>
      </c>
      <c r="U45" s="64">
        <f>IF(ISERROR($V45),0,MAX(((U44+(Assumptions!$C$40*aftCOC*(MIN((S45-5),1/aftCOC))))*(1+$V45))-(Assumptions!$C$40*aftCOC*(MIN((S45-5),1/aftCOC))),0))</f>
        <v>0</v>
      </c>
      <c r="V45" s="76">
        <f>IF(S45&lt;=Assumptions!$C$37,$W$11-($W$11*(S45-S$11)/(Assumptions!$C$37-5)),-(((S45-Assumptions!$C$37)/(Assumptions!$C$38-Assumptions!$C$37))^5))</f>
        <v>-0.7082455967078191</v>
      </c>
      <c r="W45" s="66"/>
      <c r="X45" s="70"/>
      <c r="Y45" s="71">
        <f>T45/(1+aftCOC)^IF(Assumptions!$C$26="End",$S45,$S45-0.5)</f>
        <v>0</v>
      </c>
      <c r="Z45" s="71">
        <f>U45/(1+aftCOC)^IF(Assumptions!$C$26="End",$S45,$S45-0.5)</f>
        <v>0</v>
      </c>
      <c r="AA45" s="67"/>
      <c r="AB45" s="67"/>
      <c r="AC45" s="67"/>
      <c r="AD45" s="73">
        <f>IF(Assumptions!$T$33=TRUE,IF(Assumptions!$T$35=1,(((AD44+Assumptions!$C$40)*(1+$W$11)-Assumptions!$C$40)),T45),"")</f>
        <v>0</v>
      </c>
      <c r="AE45" s="73">
        <f>IF(Assumptions!$T$33=TRUE,IF(Assumptions!$T$35=1,(((AE44+(Assumptions!$C$40*aftCOC*(MIN((S45-5),1/aftCOC))))*(1+$W$11))-(Assumptions!$C$40*aftCOC*(MIN((S45-5),1/aftCOC)))),U45),"")</f>
        <v>0</v>
      </c>
    </row>
    <row r="46" spans="2:31" ht="12.75">
      <c r="B46" s="156" t="s">
        <v>139</v>
      </c>
      <c r="C46" s="151" t="s">
        <v>82</v>
      </c>
      <c r="D46" s="151"/>
      <c r="E46" s="153">
        <f>After!E82-Before!E82</f>
        <v>0</v>
      </c>
      <c r="F46" s="153">
        <f>After!F82-Before!F82</f>
        <v>0</v>
      </c>
      <c r="G46" s="153">
        <f>After!G82-Before!G82</f>
        <v>0</v>
      </c>
      <c r="H46" s="153">
        <f>After!H82-Before!H82</f>
        <v>0</v>
      </c>
      <c r="I46" s="153">
        <f>After!I82-Before!I82</f>
        <v>0</v>
      </c>
      <c r="J46" s="153">
        <f>After!J82-Before!J82</f>
        <v>0</v>
      </c>
      <c r="K46" s="177">
        <f t="shared" si="9"/>
        <v>0</v>
      </c>
      <c r="L46" s="151"/>
      <c r="M46" s="153">
        <f>After!M82-Before!M82</f>
        <v>0</v>
      </c>
      <c r="N46" s="151"/>
      <c r="O46" s="178"/>
      <c r="S46" s="63">
        <v>40</v>
      </c>
      <c r="T46" s="64">
        <f>IF(ISERROR($V46),0,MAX(((T45+Assumptions!$C$40)*(1+$V46))-Assumptions!$C$40,0))</f>
        <v>0</v>
      </c>
      <c r="U46" s="64">
        <f>IF(ISERROR($V46),0,MAX(((U45+(Assumptions!$C$40*aftCOC*(MIN((S46-5),1/aftCOC))))*(1+$V46))-(Assumptions!$C$40*aftCOC*(MIN((S46-5),1/aftCOC))),0))</f>
        <v>0</v>
      </c>
      <c r="V46" s="76">
        <f>IF(S46&lt;=Assumptions!$C$37,$W$11-($W$11*(S46-S$11)/(Assumptions!$C$37-5)),-(((S46-Assumptions!$C$37)/(Assumptions!$C$38-Assumptions!$C$37))^5))</f>
        <v>-1</v>
      </c>
      <c r="W46" s="66"/>
      <c r="X46" s="70"/>
      <c r="Y46" s="71">
        <f>T46/(1+aftCOC)^IF(Assumptions!$C$26="End",$S46,$S46-0.5)</f>
        <v>0</v>
      </c>
      <c r="Z46" s="71">
        <f>U46/(1+aftCOC)^IF(Assumptions!$C$26="End",$S46,$S46-0.5)</f>
        <v>0</v>
      </c>
      <c r="AA46" s="67"/>
      <c r="AB46" s="67"/>
      <c r="AC46" s="67"/>
      <c r="AD46" s="73">
        <f>IF(Assumptions!$T$33=TRUE,IF(Assumptions!$T$35=1,(((AD45+Assumptions!$C$40)*(1+$W$11)-Assumptions!$C$40)),T46),"")</f>
        <v>0</v>
      </c>
      <c r="AE46" s="73">
        <f>IF(Assumptions!$T$33=TRUE,IF(Assumptions!$T$35=1,(((AE45+(Assumptions!$C$40*aftCOC*(MIN((S46-5),1/aftCOC))))*(1+$W$11))-(Assumptions!$C$40*aftCOC*(MIN((S46-5),1/aftCOC)))),U46),"")</f>
        <v>0</v>
      </c>
    </row>
    <row r="47" spans="2:31" ht="12.75">
      <c r="B47" s="156" t="s">
        <v>139</v>
      </c>
      <c r="C47" s="151" t="s">
        <v>136</v>
      </c>
      <c r="D47" s="151"/>
      <c r="E47" s="153">
        <f>After!E83-Before!E83</f>
        <v>0</v>
      </c>
      <c r="F47" s="153">
        <f>After!F83-Before!F83</f>
        <v>0</v>
      </c>
      <c r="G47" s="153">
        <f>After!G83-Before!G83</f>
        <v>0</v>
      </c>
      <c r="H47" s="153">
        <f>After!H83-Before!H83</f>
        <v>0</v>
      </c>
      <c r="I47" s="153">
        <f>After!I83-Before!I83</f>
        <v>0</v>
      </c>
      <c r="J47" s="153">
        <f>After!J83-Before!J83</f>
        <v>0</v>
      </c>
      <c r="K47" s="177">
        <f t="shared" si="9"/>
        <v>0</v>
      </c>
      <c r="L47" s="151"/>
      <c r="M47" s="153">
        <f>After!M83-Before!M83</f>
        <v>0</v>
      </c>
      <c r="N47" s="151"/>
      <c r="O47" s="178"/>
      <c r="S47" s="63">
        <v>41</v>
      </c>
      <c r="T47" s="64">
        <f>IF(ISERROR($V47),0,MAX(((T46+Assumptions!$C$40)*(1+$V47))-Assumptions!$C$40,0))</f>
        <v>0</v>
      </c>
      <c r="U47" s="64">
        <f>IF(ISERROR($V47),0,MAX(((U46+(Assumptions!$C$40*aftCOC*(MIN((S47-5),1/aftCOC))))*(1+$V47))-(Assumptions!$C$40*aftCOC*(MIN((S47-5),1/aftCOC))),0))</f>
        <v>0</v>
      </c>
      <c r="V47" s="76">
        <f>IF(S47&lt;=Assumptions!$C$37,$W$11-($W$11*(S47-S$11)/(Assumptions!$C$37-5)),-(((S47-Assumptions!$C$37)/(Assumptions!$C$38-Assumptions!$C$37))^5))</f>
        <v>-1.3808408230452676</v>
      </c>
      <c r="W47" s="66"/>
      <c r="X47" s="70"/>
      <c r="Y47" s="71">
        <f>T47/(1+aftCOC)^IF(Assumptions!$C$26="End",$S47,$S47-0.5)</f>
        <v>0</v>
      </c>
      <c r="Z47" s="71">
        <f>U47/(1+aftCOC)^IF(Assumptions!$C$26="End",$S47,$S47-0.5)</f>
        <v>0</v>
      </c>
      <c r="AA47" s="67"/>
      <c r="AB47" s="67"/>
      <c r="AC47" s="67"/>
      <c r="AD47" s="73">
        <f>IF(Assumptions!$T$33=TRUE,IF(Assumptions!$T$35=1,(((AD46+Assumptions!$C$40)*(1+$W$11)-Assumptions!$C$40)),T47),"")</f>
        <v>0</v>
      </c>
      <c r="AE47" s="73">
        <f>IF(Assumptions!$T$33=TRUE,IF(Assumptions!$T$35=1,(((AE46+(Assumptions!$C$40*aftCOC*(MIN((S47-5),1/aftCOC))))*(1+$W$11))-(Assumptions!$C$40*aftCOC*(MIN((S47-5),1/aftCOC)))),U47),"")</f>
        <v>0</v>
      </c>
    </row>
    <row r="48" spans="2:31" ht="12.75">
      <c r="B48" s="156" t="s">
        <v>146</v>
      </c>
      <c r="C48" s="151" t="s">
        <v>80</v>
      </c>
      <c r="D48" s="151"/>
      <c r="E48" s="153">
        <f>After!E84-Before!E84</f>
        <v>0</v>
      </c>
      <c r="F48" s="153">
        <f>After!F84-Before!F84</f>
        <v>0</v>
      </c>
      <c r="G48" s="153">
        <f>After!G84-Before!G84</f>
        <v>0</v>
      </c>
      <c r="H48" s="153">
        <f>After!H84-Before!H84</f>
        <v>0</v>
      </c>
      <c r="I48" s="153">
        <f>After!I84-Before!I84</f>
        <v>0</v>
      </c>
      <c r="J48" s="153">
        <f>After!J84-Before!J84</f>
        <v>0</v>
      </c>
      <c r="K48" s="177">
        <f t="shared" si="9"/>
        <v>0</v>
      </c>
      <c r="L48" s="151"/>
      <c r="M48" s="153">
        <f>After!M84-Before!M84</f>
        <v>0</v>
      </c>
      <c r="N48" s="151"/>
      <c r="O48" s="178"/>
      <c r="S48" s="63">
        <v>42</v>
      </c>
      <c r="T48" s="64">
        <f>IF(ISERROR($V48),0,MAX(((T47+Assumptions!$C$40)*(1+$V48))-Assumptions!$C$40,0))</f>
        <v>0</v>
      </c>
      <c r="U48" s="64">
        <f>IF(ISERROR($V48),0,MAX(((U47+(Assumptions!$C$40*aftCOC*(MIN((S48-5),1/aftCOC))))*(1+$V48))-(Assumptions!$C$40*aftCOC*(MIN((S48-5),1/aftCOC))),0))</f>
        <v>0</v>
      </c>
      <c r="V48" s="76">
        <f>IF(S48&lt;=Assumptions!$C$37,$W$11-($W$11*(S48-S$11)/(Assumptions!$C$37-5)),-(((S48-Assumptions!$C$37)/(Assumptions!$C$38-Assumptions!$C$37))^5))</f>
        <v>-1.8697705349794231</v>
      </c>
      <c r="W48" s="66"/>
      <c r="X48" s="70"/>
      <c r="Y48" s="71">
        <f>T48/(1+aftCOC)^IF(Assumptions!$C$26="End",$S48,$S48-0.5)</f>
        <v>0</v>
      </c>
      <c r="Z48" s="71">
        <f>U48/(1+aftCOC)^IF(Assumptions!$C$26="End",$S48,$S48-0.5)</f>
        <v>0</v>
      </c>
      <c r="AA48" s="67"/>
      <c r="AB48" s="67"/>
      <c r="AC48" s="67"/>
      <c r="AD48" s="73">
        <f>IF(Assumptions!$T$33=TRUE,IF(Assumptions!$T$35=1,(((AD47+Assumptions!$C$40)*(1+$W$11)-Assumptions!$C$40)),T48),"")</f>
        <v>0</v>
      </c>
      <c r="AE48" s="73">
        <f>IF(Assumptions!$T$33=TRUE,IF(Assumptions!$T$35=1,(((AE47+(Assumptions!$C$40*aftCOC*(MIN((S48-5),1/aftCOC))))*(1+$W$11))-(Assumptions!$C$40*aftCOC*(MIN((S48-5),1/aftCOC)))),U48),"")</f>
        <v>0</v>
      </c>
    </row>
    <row r="49" spans="2:31" ht="12.75">
      <c r="B49" s="156" t="s">
        <v>146</v>
      </c>
      <c r="C49" s="151" t="s">
        <v>150</v>
      </c>
      <c r="D49" s="151"/>
      <c r="E49" s="157">
        <f>After!E85-Before!E85</f>
        <v>0</v>
      </c>
      <c r="F49" s="157">
        <f>After!F85-Before!F85</f>
        <v>0</v>
      </c>
      <c r="G49" s="157">
        <f>After!G85-Before!G85</f>
        <v>0</v>
      </c>
      <c r="H49" s="157">
        <f>After!H85-Before!H85</f>
        <v>0</v>
      </c>
      <c r="I49" s="157">
        <f>After!I85-Before!I85</f>
        <v>0</v>
      </c>
      <c r="J49" s="237">
        <f>After!J85-Before!J85</f>
        <v>0</v>
      </c>
      <c r="K49" s="179">
        <f t="shared" si="9"/>
        <v>0</v>
      </c>
      <c r="L49" s="151"/>
      <c r="M49" s="157">
        <f>After!M85-Before!M85</f>
        <v>0</v>
      </c>
      <c r="N49" s="151"/>
      <c r="O49" s="178"/>
      <c r="S49" s="63">
        <v>43</v>
      </c>
      <c r="T49" s="64">
        <f>IF(ISERROR($V49),0,MAX(((T48+Assumptions!$C$40)*(1+$V49))-Assumptions!$C$40,0))</f>
        <v>0</v>
      </c>
      <c r="U49" s="64">
        <f>IF(ISERROR($V49),0,MAX(((U48+(Assumptions!$C$40*aftCOC*(MIN((S49-5),1/aftCOC))))*(1+$V49))-(Assumptions!$C$40*aftCOC*(MIN((S49-5),1/aftCOC))),0))</f>
        <v>0</v>
      </c>
      <c r="V49" s="76">
        <f>IF(S49&lt;=Assumptions!$C$37,$W$11-($W$11*(S49-S$11)/(Assumptions!$C$37-5)),-(((S49-Assumptions!$C$37)/(Assumptions!$C$38-Assumptions!$C$37))^5))</f>
        <v>-2.48832</v>
      </c>
      <c r="W49" s="66"/>
      <c r="X49" s="70"/>
      <c r="Y49" s="71">
        <f>T49/(1+aftCOC)^IF(Assumptions!$C$26="End",$S49,$S49-0.5)</f>
        <v>0</v>
      </c>
      <c r="Z49" s="71">
        <f>U49/(1+aftCOC)^IF(Assumptions!$C$26="End",$S49,$S49-0.5)</f>
        <v>0</v>
      </c>
      <c r="AA49" s="67"/>
      <c r="AB49" s="67"/>
      <c r="AC49" s="67"/>
      <c r="AD49" s="73">
        <f>IF(Assumptions!$T$33=TRUE,IF(Assumptions!$T$35=1,(((AD48+Assumptions!$C$40)*(1+$W$11)-Assumptions!$C$40)),T49),"")</f>
        <v>0</v>
      </c>
      <c r="AE49" s="73">
        <f>IF(Assumptions!$T$33=TRUE,IF(Assumptions!$T$35=1,(((AE48+(Assumptions!$C$40*aftCOC*(MIN((S49-5),1/aftCOC))))*(1+$W$11))-(Assumptions!$C$40*aftCOC*(MIN((S49-5),1/aftCOC)))),U49),"")</f>
        <v>0</v>
      </c>
    </row>
    <row r="50" spans="2:31" ht="12.75">
      <c r="B50" s="156"/>
      <c r="C50" s="151" t="s">
        <v>151</v>
      </c>
      <c r="D50" s="151"/>
      <c r="E50" s="153">
        <f aca="true" t="shared" si="10" ref="E50:J50">SUM(E44:E49)</f>
        <v>0</v>
      </c>
      <c r="F50" s="153">
        <f t="shared" si="10"/>
        <v>0</v>
      </c>
      <c r="G50" s="153">
        <f t="shared" si="10"/>
        <v>0</v>
      </c>
      <c r="H50" s="153">
        <f t="shared" si="10"/>
        <v>0</v>
      </c>
      <c r="I50" s="153">
        <f t="shared" si="10"/>
        <v>0</v>
      </c>
      <c r="J50" s="153">
        <f t="shared" si="10"/>
        <v>0</v>
      </c>
      <c r="K50" s="177">
        <f t="shared" si="9"/>
        <v>0</v>
      </c>
      <c r="L50" s="151"/>
      <c r="M50" s="153">
        <f>SUM(M44:M49)</f>
        <v>0</v>
      </c>
      <c r="N50" s="151"/>
      <c r="O50" s="178"/>
      <c r="S50" s="63">
        <v>44</v>
      </c>
      <c r="T50" s="64">
        <f>IF(ISERROR($V50),0,MAX(((T49+Assumptions!$C$40)*(1+$V50))-Assumptions!$C$40,0))</f>
        <v>0</v>
      </c>
      <c r="U50" s="64">
        <f>IF(ISERROR($V50),0,MAX(((U49+(Assumptions!$C$40*aftCOC*(MIN((S50-5),1/aftCOC))))*(1+$V50))-(Assumptions!$C$40*aftCOC*(MIN((S50-5),1/aftCOC))),0))</f>
        <v>0</v>
      </c>
      <c r="V50" s="76">
        <f>IF(S50&lt;=Assumptions!$C$37,$W$11-($W$11*(S50-S$11)/(Assumptions!$C$37-5)),-(((S50-Assumptions!$C$37)/(Assumptions!$C$38-Assumptions!$C$37))^5))</f>
        <v>-3.2607065020576127</v>
      </c>
      <c r="W50" s="66"/>
      <c r="X50" s="70"/>
      <c r="Y50" s="71">
        <f>T50/(1+aftCOC)^IF(Assumptions!$C$26="End",$S50,$S50-0.5)</f>
        <v>0</v>
      </c>
      <c r="Z50" s="71">
        <f>U50/(1+aftCOC)^IF(Assumptions!$C$26="End",$S50,$S50-0.5)</f>
        <v>0</v>
      </c>
      <c r="AA50" s="67"/>
      <c r="AB50" s="67"/>
      <c r="AC50" s="67"/>
      <c r="AD50" s="73">
        <f>IF(Assumptions!$T$33=TRUE,IF(Assumptions!$T$35=1,(((AD49+Assumptions!$C$40)*(1+$W$11)-Assumptions!$C$40)),T50),"")</f>
        <v>0</v>
      </c>
      <c r="AE50" s="73">
        <f>IF(Assumptions!$T$33=TRUE,IF(Assumptions!$T$35=1,(((AE49+(Assumptions!$C$40*aftCOC*(MIN((S50-5),1/aftCOC))))*(1+$W$11))-(Assumptions!$C$40*aftCOC*(MIN((S50-5),1/aftCOC)))),U50),"")</f>
        <v>0</v>
      </c>
    </row>
    <row r="51" spans="2:31" ht="12.75">
      <c r="B51" s="156"/>
      <c r="C51" s="151"/>
      <c r="D51" s="151"/>
      <c r="E51" s="153"/>
      <c r="F51" s="153"/>
      <c r="G51" s="153"/>
      <c r="H51" s="153"/>
      <c r="I51" s="153"/>
      <c r="J51" s="153"/>
      <c r="K51" s="177"/>
      <c r="L51" s="151"/>
      <c r="M51" s="153"/>
      <c r="N51" s="151"/>
      <c r="O51" s="178"/>
      <c r="S51" s="63">
        <v>45</v>
      </c>
      <c r="T51" s="64">
        <f>IF(ISERROR($V51),0,MAX(((T50+Assumptions!$C$40)*(1+$V51))-Assumptions!$C$40,0))</f>
        <v>0</v>
      </c>
      <c r="U51" s="64">
        <f>IF(ISERROR($V51),0,MAX(((U50+(Assumptions!$C$40*aftCOC*(MIN((S51-5),1/aftCOC))))*(1+$V51))-(Assumptions!$C$40*aftCOC*(MIN((S51-5),1/aftCOC))),0))</f>
        <v>0</v>
      </c>
      <c r="V51" s="76">
        <f>IF(S51&lt;=Assumptions!$C$37,$W$11-($W$11*(S51-S$11)/(Assumptions!$C$37-5)),-(((S51-Assumptions!$C$37)/(Assumptions!$C$38-Assumptions!$C$37))^5))</f>
        <v>-4.213991769547325</v>
      </c>
      <c r="W51" s="66"/>
      <c r="X51" s="70"/>
      <c r="Y51" s="71">
        <f>T51/(1+aftCOC)^IF(Assumptions!$C$26="End",$S51,$S51-0.5)</f>
        <v>0</v>
      </c>
      <c r="Z51" s="71">
        <f>U51/(1+aftCOC)^IF(Assumptions!$C$26="End",$S51,$S51-0.5)</f>
        <v>0</v>
      </c>
      <c r="AA51" s="67"/>
      <c r="AB51" s="67"/>
      <c r="AC51" s="67"/>
      <c r="AD51" s="73">
        <f>IF(Assumptions!$T$33=TRUE,IF(Assumptions!$T$35=1,(((AD50+Assumptions!$C$40)*(1+$W$11)-Assumptions!$C$40)),T51),"")</f>
        <v>0</v>
      </c>
      <c r="AE51" s="73">
        <f>IF(Assumptions!$T$33=TRUE,IF(Assumptions!$T$35=1,(((AE50+(Assumptions!$C$40*aftCOC*(MIN((S51-5),1/aftCOC))))*(1+$W$11))-(Assumptions!$C$40*aftCOC*(MIN((S51-5),1/aftCOC)))),U51),"")</f>
        <v>0</v>
      </c>
    </row>
    <row r="52" spans="2:31" ht="12.75">
      <c r="B52" s="156"/>
      <c r="C52" s="151" t="s">
        <v>65</v>
      </c>
      <c r="D52" s="151"/>
      <c r="E52" s="153">
        <f>After!E88-Before!E88</f>
        <v>0</v>
      </c>
      <c r="F52" s="153">
        <f>After!F88-Before!F88</f>
        <v>0</v>
      </c>
      <c r="G52" s="153">
        <f>After!G88-Before!G88</f>
        <v>0</v>
      </c>
      <c r="H52" s="153">
        <f>After!H88-Before!H88</f>
        <v>0</v>
      </c>
      <c r="I52" s="153">
        <f>After!I88-Before!I88</f>
        <v>0</v>
      </c>
      <c r="J52" s="153">
        <f>After!J88-Before!J88</f>
        <v>0</v>
      </c>
      <c r="K52" s="177">
        <f>SUM(E52:J52)</f>
        <v>0</v>
      </c>
      <c r="L52" s="151"/>
      <c r="M52" s="153">
        <f>After!M88-Before!M88</f>
        <v>0</v>
      </c>
      <c r="N52" s="151"/>
      <c r="O52" s="178"/>
      <c r="S52" s="63">
        <v>46</v>
      </c>
      <c r="T52" s="64">
        <f>IF(ISERROR($V52),0,MAX(((T51+Assumptions!$C$40)*(1+$V52))-Assumptions!$C$40,0))</f>
        <v>0</v>
      </c>
      <c r="U52" s="64">
        <f>IF(ISERROR($V52),0,MAX(((U51+(Assumptions!$C$40*aftCOC*(MIN((S52-5),1/aftCOC))))*(1+$V52))-(Assumptions!$C$40*aftCOC*(MIN((S52-5),1/aftCOC))),0))</f>
        <v>0</v>
      </c>
      <c r="V52" s="76">
        <f>IF(S52&lt;=Assumptions!$C$37,$W$11-($W$11*(S52-S$11)/(Assumptions!$C$37-5)),-(((S52-Assumptions!$C$37)/(Assumptions!$C$38-Assumptions!$C$37))^5))</f>
        <v>-5.378239999999998</v>
      </c>
      <c r="W52" s="66"/>
      <c r="X52" s="70"/>
      <c r="Y52" s="71">
        <f>T52/(1+aftCOC)^IF(Assumptions!$C$26="End",$S52,$S52-0.5)</f>
        <v>0</v>
      </c>
      <c r="Z52" s="71">
        <f>U52/(1+aftCOC)^IF(Assumptions!$C$26="End",$S52,$S52-0.5)</f>
        <v>0</v>
      </c>
      <c r="AA52" s="67"/>
      <c r="AB52" s="67"/>
      <c r="AC52" s="67"/>
      <c r="AD52" s="73">
        <f>IF(Assumptions!$T$33=TRUE,IF(Assumptions!$T$35=1,(((AD51+Assumptions!$C$40)*(1+$W$11)-Assumptions!$C$40)),T52),"")</f>
        <v>0</v>
      </c>
      <c r="AE52" s="73">
        <f>IF(Assumptions!$T$33=TRUE,IF(Assumptions!$T$35=1,(((AE51+(Assumptions!$C$40*aftCOC*(MIN((S52-5),1/aftCOC))))*(1+$W$11))-(Assumptions!$C$40*aftCOC*(MIN((S52-5),1/aftCOC)))),U52),"")</f>
        <v>0</v>
      </c>
    </row>
    <row r="53" spans="2:31" ht="12.75">
      <c r="B53" s="156" t="s">
        <v>139</v>
      </c>
      <c r="C53" s="151" t="s">
        <v>152</v>
      </c>
      <c r="D53" s="151"/>
      <c r="E53" s="153">
        <f>After!E89-Before!E89</f>
        <v>0</v>
      </c>
      <c r="F53" s="153">
        <f>After!F89-Before!F89</f>
        <v>0</v>
      </c>
      <c r="G53" s="153">
        <f>After!G89-Before!G89</f>
        <v>0</v>
      </c>
      <c r="H53" s="153">
        <f>After!H89-Before!H89</f>
        <v>0</v>
      </c>
      <c r="I53" s="153">
        <f>After!I89-Before!I89</f>
        <v>0</v>
      </c>
      <c r="J53" s="153">
        <f>After!J89-Before!J89</f>
        <v>0</v>
      </c>
      <c r="K53" s="179">
        <f>SUM(E53:J53)</f>
        <v>0</v>
      </c>
      <c r="L53" s="151"/>
      <c r="M53" s="153">
        <f>After!M89-Before!M89</f>
        <v>0</v>
      </c>
      <c r="N53" s="151"/>
      <c r="O53" s="178"/>
      <c r="S53" s="63">
        <v>47</v>
      </c>
      <c r="T53" s="64">
        <f>IF(ISERROR($V53),0,MAX(((T52+Assumptions!$C$40)*(1+$V53))-Assumptions!$C$40,0))</f>
        <v>0</v>
      </c>
      <c r="U53" s="64">
        <f>IF(ISERROR($V53),0,MAX(((U52+(Assumptions!$C$40*aftCOC*(MIN((S53-5),1/aftCOC))))*(1+$V53))-(Assumptions!$C$40*aftCOC*(MIN((S53-5),1/aftCOC))),0))</f>
        <v>0</v>
      </c>
      <c r="V53" s="76">
        <f>IF(S53&lt;=Assumptions!$C$37,$W$11-($W$11*(S53-S$11)/(Assumptions!$C$37-5)),-(((S53-Assumptions!$C$37)/(Assumptions!$C$38-Assumptions!$C$37))^5))</f>
        <v>-6.7866758847736595</v>
      </c>
      <c r="W53" s="66"/>
      <c r="X53" s="70"/>
      <c r="Y53" s="71">
        <f>T53/(1+aftCOC)^IF(Assumptions!$C$26="End",$S53,$S53-0.5)</f>
        <v>0</v>
      </c>
      <c r="Z53" s="71">
        <f>U53/(1+aftCOC)^IF(Assumptions!$C$26="End",$S53,$S53-0.5)</f>
        <v>0</v>
      </c>
      <c r="AA53" s="67"/>
      <c r="AB53" s="67"/>
      <c r="AC53" s="67"/>
      <c r="AD53" s="73">
        <f>IF(Assumptions!$T$33=TRUE,IF(Assumptions!$T$35=1,(((AD52+Assumptions!$C$40)*(1+$W$11)-Assumptions!$C$40)),T53),"")</f>
        <v>0</v>
      </c>
      <c r="AE53" s="73">
        <f>IF(Assumptions!$T$33=TRUE,IF(Assumptions!$T$35=1,(((AE52+(Assumptions!$C$40*aftCOC*(MIN((S53-5),1/aftCOC))))*(1+$W$11))-(Assumptions!$C$40*aftCOC*(MIN((S53-5),1/aftCOC)))),U53),"")</f>
        <v>0</v>
      </c>
    </row>
    <row r="54" spans="2:31" ht="13.5" thickBot="1">
      <c r="B54" s="156"/>
      <c r="C54" s="163" t="s">
        <v>153</v>
      </c>
      <c r="D54" s="151"/>
      <c r="E54" s="166">
        <f aca="true" t="shared" si="11" ref="E54:J54">E50+E53</f>
        <v>0</v>
      </c>
      <c r="F54" s="166">
        <f t="shared" si="11"/>
        <v>0</v>
      </c>
      <c r="G54" s="166">
        <f t="shared" si="11"/>
        <v>0</v>
      </c>
      <c r="H54" s="166">
        <f t="shared" si="11"/>
        <v>0</v>
      </c>
      <c r="I54" s="166">
        <f t="shared" si="11"/>
        <v>0</v>
      </c>
      <c r="J54" s="166">
        <f t="shared" si="11"/>
        <v>0</v>
      </c>
      <c r="K54" s="180">
        <f>SUM(E54:J54)</f>
        <v>0</v>
      </c>
      <c r="L54" s="151"/>
      <c r="M54" s="166">
        <f>M50+M53</f>
        <v>0</v>
      </c>
      <c r="N54" s="151"/>
      <c r="O54" s="178"/>
      <c r="S54" s="63">
        <v>48</v>
      </c>
      <c r="T54" s="64">
        <f>IF(ISERROR($V54),0,MAX(((T53+Assumptions!$C$40)*(1+$V54))-Assumptions!$C$40,0))</f>
        <v>0</v>
      </c>
      <c r="U54" s="64">
        <f>IF(ISERROR($V54),0,MAX(((U53+(Assumptions!$C$40*aftCOC*(MIN((S54-5),1/aftCOC))))*(1+$V54))-(Assumptions!$C$40*aftCOC*(MIN((S54-5),1/aftCOC))),0))</f>
        <v>0</v>
      </c>
      <c r="V54" s="76">
        <f>IF(S54&lt;=Assumptions!$C$37,$W$11-($W$11*(S54-S$11)/(Assumptions!$C$37-5)),-(((S54-Assumptions!$C$37)/(Assumptions!$C$38-Assumptions!$C$37))^5))</f>
        <v>-8.47584263374486</v>
      </c>
      <c r="W54" s="66"/>
      <c r="X54" s="70"/>
      <c r="Y54" s="71">
        <f>T54/(1+aftCOC)^IF(Assumptions!$C$26="End",$S54,$S54-0.5)</f>
        <v>0</v>
      </c>
      <c r="Z54" s="71">
        <f>U54/(1+aftCOC)^IF(Assumptions!$C$26="End",$S54,$S54-0.5)</f>
        <v>0</v>
      </c>
      <c r="AA54" s="67"/>
      <c r="AB54" s="67"/>
      <c r="AC54" s="67"/>
      <c r="AD54" s="73">
        <f>IF(Assumptions!$T$33=TRUE,IF(Assumptions!$T$35=1,(((AD53+Assumptions!$C$40)*(1+$W$11)-Assumptions!$C$40)),T54),"")</f>
        <v>0</v>
      </c>
      <c r="AE54" s="73">
        <f>IF(Assumptions!$T$33=TRUE,IF(Assumptions!$T$35=1,(((AE53+(Assumptions!$C$40*aftCOC*(MIN((S54-5),1/aftCOC))))*(1+$W$11))-(Assumptions!$C$40*aftCOC*(MIN((S54-5),1/aftCOC)))),U54),"")</f>
        <v>0</v>
      </c>
    </row>
    <row r="55" spans="2:31" ht="5.25" customHeight="1">
      <c r="B55" s="156"/>
      <c r="C55" s="163"/>
      <c r="D55" s="151"/>
      <c r="E55" s="182"/>
      <c r="F55" s="182"/>
      <c r="G55" s="182"/>
      <c r="H55" s="182"/>
      <c r="I55" s="182"/>
      <c r="J55" s="182"/>
      <c r="K55" s="153"/>
      <c r="L55" s="153"/>
      <c r="M55" s="151"/>
      <c r="N55" s="151"/>
      <c r="O55" s="178"/>
      <c r="S55" s="63">
        <v>49</v>
      </c>
      <c r="T55" s="64">
        <f>IF(ISERROR($V55),0,MAX(((T54+Assumptions!$C$40)*(1+$V55))-Assumptions!$C$40,0))</f>
        <v>0</v>
      </c>
      <c r="U55" s="64">
        <f>IF(ISERROR($V55),0,MAX(((U54+(Assumptions!$C$40*aftCOC*(MIN((S55-5),1/aftCOC))))*(1+$V55))-(Assumptions!$C$40*aftCOC*(MIN((S55-5),1/aftCOC))),0))</f>
        <v>0</v>
      </c>
      <c r="V55" s="76">
        <f>IF(S55&lt;=Assumptions!$C$37,$W$11-($W$11*(S55-S$11)/(Assumptions!$C$37-5)),-(((S55-Assumptions!$C$37)/(Assumptions!$C$38-Assumptions!$C$37))^5))</f>
        <v>-10.485760000000006</v>
      </c>
      <c r="W55" s="66"/>
      <c r="X55" s="70"/>
      <c r="Y55" s="71">
        <f>T55/(1+aftCOC)^IF(Assumptions!$C$26="End",$S55,$S55-0.5)</f>
        <v>0</v>
      </c>
      <c r="Z55" s="71">
        <f>U55/(1+aftCOC)^IF(Assumptions!$C$26="End",$S55,$S55-0.5)</f>
        <v>0</v>
      </c>
      <c r="AA55" s="67"/>
      <c r="AB55" s="67"/>
      <c r="AC55" s="67"/>
      <c r="AD55" s="73">
        <f>IF(Assumptions!$T$33=TRUE,IF(Assumptions!$T$35=1,(((AD54+Assumptions!$C$40)*(1+$W$11)-Assumptions!$C$40)),T55),"")</f>
        <v>0</v>
      </c>
      <c r="AE55" s="73">
        <f>IF(Assumptions!$T$33=TRUE,IF(Assumptions!$T$35=1,(((AE54+(Assumptions!$C$40*aftCOC*(MIN((S55-5),1/aftCOC))))*(1+$W$11))-(Assumptions!$C$40*aftCOC*(MIN((S55-5),1/aftCOC)))),U55),"")</f>
        <v>0</v>
      </c>
    </row>
    <row r="56" spans="2:31" ht="12.75">
      <c r="B56" s="156"/>
      <c r="C56" s="163" t="s">
        <v>155</v>
      </c>
      <c r="D56" s="151"/>
      <c r="E56" s="181">
        <f>After!E94-Before!E94</f>
        <v>0</v>
      </c>
      <c r="F56" s="239">
        <f>IF(ISERROR(E56/E60),"",E56/E60)</f>
      </c>
      <c r="G56" s="182"/>
      <c r="H56" s="182"/>
      <c r="I56" s="182"/>
      <c r="J56" s="182"/>
      <c r="K56" s="153"/>
      <c r="L56" s="153"/>
      <c r="M56" s="151"/>
      <c r="N56" s="151"/>
      <c r="O56" s="178"/>
      <c r="S56" s="63">
        <v>50</v>
      </c>
      <c r="T56" s="64">
        <f>IF(ISERROR($V56),0,MAX(((T55+Assumptions!$C$40)*(1+$V56))-Assumptions!$C$40,0))</f>
        <v>0</v>
      </c>
      <c r="U56" s="64">
        <f>IF(ISERROR($V56),0,MAX(((U55+(Assumptions!$C$40*aftCOC*(MIN((S56-5),1/aftCOC))))*(1+$V56))-(Assumptions!$C$40*aftCOC*(MIN((S56-5),1/aftCOC))),0))</f>
        <v>0</v>
      </c>
      <c r="V56" s="76">
        <f>IF(S56&lt;=Assumptions!$C$37,$W$11-($W$11*(S56-S$11)/(Assumptions!$C$37-5)),-(((S56-Assumptions!$C$37)/(Assumptions!$C$38-Assumptions!$C$37))^5))</f>
        <v>-12.860082304526752</v>
      </c>
      <c r="W56" s="66"/>
      <c r="X56" s="70"/>
      <c r="Y56" s="71">
        <f>T56/(1+aftCOC)^IF(Assumptions!$C$26="End",$S56,$S56-0.5)</f>
        <v>0</v>
      </c>
      <c r="Z56" s="71">
        <f>U56/(1+aftCOC)^IF(Assumptions!$C$26="End",$S56,$S56-0.5)</f>
        <v>0</v>
      </c>
      <c r="AA56" s="67"/>
      <c r="AB56" s="67"/>
      <c r="AC56" s="67"/>
      <c r="AD56" s="73">
        <f>IF(Assumptions!$T$33=TRUE,IF(Assumptions!$T$35=1,(((AD55+Assumptions!$C$40)*(1+$W$11)-Assumptions!$C$40)),T56),"")</f>
        <v>0</v>
      </c>
      <c r="AE56" s="73">
        <f>IF(Assumptions!$T$33=TRUE,IF(Assumptions!$T$35=1,(((AE55+(Assumptions!$C$40*aftCOC*(MIN((S56-5),1/aftCOC))))*(1+$W$11))-(Assumptions!$C$40*aftCOC*(MIN((S56-5),1/aftCOC)))),U56),"")</f>
        <v>0</v>
      </c>
    </row>
    <row r="57" spans="2:31" ht="5.25" customHeight="1">
      <c r="B57" s="156"/>
      <c r="C57" s="163"/>
      <c r="D57" s="151"/>
      <c r="E57" s="182"/>
      <c r="F57" s="239"/>
      <c r="G57" s="182"/>
      <c r="H57" s="182"/>
      <c r="I57" s="182"/>
      <c r="J57" s="182"/>
      <c r="K57" s="153"/>
      <c r="L57" s="153"/>
      <c r="M57" s="151"/>
      <c r="N57" s="151"/>
      <c r="O57" s="178"/>
      <c r="S57" s="63">
        <v>51</v>
      </c>
      <c r="T57" s="64">
        <f>IF(ISERROR($V57),0,MAX(((T56+Assumptions!$C$40)*(1+$V57))-Assumptions!$C$40,0))</f>
        <v>0</v>
      </c>
      <c r="U57" s="64">
        <f>IF(ISERROR($V57),0,MAX(((U56+(Assumptions!$C$40*aftCOC*(MIN((S57-5),1/aftCOC))))*(1+$V57))-(Assumptions!$C$40*aftCOC*(MIN((S57-5),1/aftCOC))),0))</f>
        <v>0</v>
      </c>
      <c r="V57" s="76">
        <f>IF(S57&lt;=Assumptions!$C$37,$W$11-($W$11*(S57-S$11)/(Assumptions!$C$37-5)),-(((S57-Assumptions!$C$37)/(Assumptions!$C$38-Assumptions!$C$37))^5))</f>
        <v>-15.646256460905352</v>
      </c>
      <c r="W57" s="66"/>
      <c r="X57" s="70"/>
      <c r="Y57" s="71">
        <f>T57/(1+aftCOC)^IF(Assumptions!$C$26="End",$S57,$S57-0.5)</f>
        <v>0</v>
      </c>
      <c r="Z57" s="71">
        <f>U57/(1+aftCOC)^IF(Assumptions!$C$26="End",$S57,$S57-0.5)</f>
        <v>0</v>
      </c>
      <c r="AA57" s="67"/>
      <c r="AB57" s="67"/>
      <c r="AC57" s="67"/>
      <c r="AD57" s="73">
        <f>IF(Assumptions!$T$33=TRUE,IF(Assumptions!$T$35=1,(((AD56+Assumptions!$C$40)*(1+$W$11)-Assumptions!$C$40)),T57),"")</f>
        <v>0</v>
      </c>
      <c r="AE57" s="73">
        <f>IF(Assumptions!$T$33=TRUE,IF(Assumptions!$T$35=1,(((AE56+(Assumptions!$C$40*aftCOC*(MIN((S57-5),1/aftCOC))))*(1+$W$11))-(Assumptions!$C$40*aftCOC*(MIN((S57-5),1/aftCOC)))),U57),"")</f>
        <v>0</v>
      </c>
    </row>
    <row r="58" spans="2:31" ht="12.75">
      <c r="B58" s="156"/>
      <c r="C58" s="163" t="str">
        <f>IF(Assumptions!T35=2,"Finite ","Infinite ")&amp;"Terminal Value"</f>
        <v>Infinite Terminal Value</v>
      </c>
      <c r="D58" s="151"/>
      <c r="E58" s="181">
        <f>IF(Assumptions!$T$33=TRUE,IF(Assumptions!$T$35=1,(E39-E56),(SUM(Z12:Z106)*After!K273)),0)</f>
        <v>0</v>
      </c>
      <c r="F58" s="239">
        <f>IF(ISERROR(E58/E60),"",E58/E60)</f>
      </c>
      <c r="G58" s="182"/>
      <c r="H58" s="182"/>
      <c r="I58" s="182"/>
      <c r="J58" s="182"/>
      <c r="K58" s="153"/>
      <c r="L58" s="153"/>
      <c r="M58" s="151"/>
      <c r="N58" s="151"/>
      <c r="O58" s="178"/>
      <c r="S58" s="63">
        <v>52</v>
      </c>
      <c r="T58" s="64">
        <f>IF(ISERROR($V58),0,MAX(((T57+Assumptions!$C$40)*(1+$V58))-Assumptions!$C$40,0))</f>
        <v>0</v>
      </c>
      <c r="U58" s="64">
        <f>IF(ISERROR($V58),0,MAX(((U57+(Assumptions!$C$40*aftCOC*(MIN((S58-5),1/aftCOC))))*(1+$V58))-(Assumptions!$C$40*aftCOC*(MIN((S58-5),1/aftCOC))),0))</f>
        <v>0</v>
      </c>
      <c r="V58" s="76">
        <f>IF(S58&lt;=Assumptions!$C$37,$W$11-($W$11*(S58-S$11)/(Assumptions!$C$37-5)),-(((S58-Assumptions!$C$37)/(Assumptions!$C$38-Assumptions!$C$37))^5))</f>
        <v>-18.895680000000006</v>
      </c>
      <c r="W58" s="66"/>
      <c r="X58" s="70"/>
      <c r="Y58" s="71">
        <f>T58/(1+aftCOC)^IF(Assumptions!$C$26="End",$S58,$S58-0.5)</f>
        <v>0</v>
      </c>
      <c r="Z58" s="71">
        <f>U58/(1+aftCOC)^IF(Assumptions!$C$26="End",$S58,$S58-0.5)</f>
        <v>0</v>
      </c>
      <c r="AA58" s="67"/>
      <c r="AB58" s="67"/>
      <c r="AC58" s="67"/>
      <c r="AD58" s="73">
        <f>IF(Assumptions!$T$33=TRUE,IF(Assumptions!$T$35=1,(((AD57+Assumptions!$C$40)*(1+$W$11)-Assumptions!$C$40)),T58),"")</f>
        <v>0</v>
      </c>
      <c r="AE58" s="73">
        <f>IF(Assumptions!$T$33=TRUE,IF(Assumptions!$T$35=1,(((AE57+(Assumptions!$C$40*aftCOC*(MIN((S58-5),1/aftCOC))))*(1+$W$11))-(Assumptions!$C$40*aftCOC*(MIN((S58-5),1/aftCOC)))),U58),"")</f>
        <v>0</v>
      </c>
    </row>
    <row r="59" spans="2:31" ht="5.25" customHeight="1">
      <c r="B59" s="156"/>
      <c r="C59" s="163"/>
      <c r="D59" s="151"/>
      <c r="E59" s="182"/>
      <c r="F59" s="182"/>
      <c r="G59" s="182"/>
      <c r="H59" s="182"/>
      <c r="I59" s="182"/>
      <c r="J59" s="182"/>
      <c r="K59" s="153"/>
      <c r="L59" s="153"/>
      <c r="M59" s="151"/>
      <c r="N59" s="151"/>
      <c r="O59" s="178"/>
      <c r="S59" s="63">
        <v>53</v>
      </c>
      <c r="T59" s="64">
        <f>IF(ISERROR($V59),0,MAX(((T58+Assumptions!$C$40)*(1+$V59))-Assumptions!$C$40,0))</f>
        <v>0</v>
      </c>
      <c r="U59" s="64">
        <f>IF(ISERROR($V59),0,MAX(((U58+(Assumptions!$C$40*aftCOC*(MIN((S59-5),1/aftCOC))))*(1+$V59))-(Assumptions!$C$40*aftCOC*(MIN((S59-5),1/aftCOC))),0))</f>
        <v>0</v>
      </c>
      <c r="V59" s="76">
        <f>IF(S59&lt;=Assumptions!$C$37,$W$11-($W$11*(S59-S$11)/(Assumptions!$C$37-5)),-(((S59-Assumptions!$C$37)/(Assumptions!$C$38-Assumptions!$C$37))^5))</f>
        <v>-22.66385909465021</v>
      </c>
      <c r="W59" s="66"/>
      <c r="X59" s="70"/>
      <c r="Y59" s="71">
        <f>T59/(1+aftCOC)^IF(Assumptions!$C$26="End",$S59,$S59-0.5)</f>
        <v>0</v>
      </c>
      <c r="Z59" s="71">
        <f>U59/(1+aftCOC)^IF(Assumptions!$C$26="End",$S59,$S59-0.5)</f>
        <v>0</v>
      </c>
      <c r="AA59" s="67"/>
      <c r="AB59" s="67"/>
      <c r="AC59" s="67"/>
      <c r="AD59" s="73">
        <f>IF(Assumptions!$T$33=TRUE,IF(Assumptions!$T$35=1,(((AD58+Assumptions!$C$40)*(1+$W$11)-Assumptions!$C$40)),T59),"")</f>
        <v>0</v>
      </c>
      <c r="AE59" s="73">
        <f>IF(Assumptions!$T$33=TRUE,IF(Assumptions!$T$35=1,(((AE58+(Assumptions!$C$40*aftCOC*(MIN((S59-5),1/aftCOC))))*(1+$W$11))-(Assumptions!$C$40*aftCOC*(MIN((S59-5),1/aftCOC)))),U59),"")</f>
        <v>0</v>
      </c>
    </row>
    <row r="60" spans="2:31" ht="13.5" thickBot="1">
      <c r="B60" s="156"/>
      <c r="C60" s="163" t="s">
        <v>155</v>
      </c>
      <c r="D60" s="151"/>
      <c r="E60" s="240">
        <f>E56+E58</f>
        <v>0</v>
      </c>
      <c r="F60" s="182"/>
      <c r="G60" s="182"/>
      <c r="H60" s="182"/>
      <c r="I60" s="182"/>
      <c r="J60" s="182"/>
      <c r="K60" s="153"/>
      <c r="L60" s="153"/>
      <c r="M60" s="151"/>
      <c r="N60" s="151"/>
      <c r="O60" s="178"/>
      <c r="S60" s="63">
        <v>54</v>
      </c>
      <c r="T60" s="64">
        <f>IF(ISERROR($V60),0,MAX(((T59+Assumptions!$C$40)*(1+$V60))-Assumptions!$C$40,0))</f>
        <v>0</v>
      </c>
      <c r="U60" s="64">
        <f>IF(ISERROR($V60),0,MAX(((U59+(Assumptions!$C$40*aftCOC*(MIN((S60-5),1/aftCOC))))*(1+$V60))-(Assumptions!$C$40*aftCOC*(MIN((S60-5),1/aftCOC))),0))</f>
        <v>0</v>
      </c>
      <c r="V60" s="76">
        <f>IF(S60&lt;=Assumptions!$C$37,$W$11-($W$11*(S60-S$11)/(Assumptions!$C$37-5)),-(((S60-Assumptions!$C$37)/(Assumptions!$C$38-Assumptions!$C$37))^5))</f>
        <v>-27.010566584362138</v>
      </c>
      <c r="W60" s="66"/>
      <c r="X60" s="70"/>
      <c r="Y60" s="71">
        <f>T60/(1+aftCOC)^IF(Assumptions!$C$26="End",$S60,$S60-0.5)</f>
        <v>0</v>
      </c>
      <c r="Z60" s="71">
        <f>U60/(1+aftCOC)^IF(Assumptions!$C$26="End",$S60,$S60-0.5)</f>
        <v>0</v>
      </c>
      <c r="AA60" s="67"/>
      <c r="AB60" s="67"/>
      <c r="AC60" s="67"/>
      <c r="AD60" s="73">
        <f>IF(Assumptions!$T$33=TRUE,IF(Assumptions!$T$35=1,(((AD59+Assumptions!$C$40)*(1+$W$11)-Assumptions!$C$40)),T60),"")</f>
        <v>0</v>
      </c>
      <c r="AE60" s="73">
        <f>IF(Assumptions!$T$33=TRUE,IF(Assumptions!$T$35=1,(((AE59+(Assumptions!$C$40*aftCOC*(MIN((S60-5),1/aftCOC))))*(1+$W$11))-(Assumptions!$C$40*aftCOC*(MIN((S60-5),1/aftCOC)))),U60),"")</f>
        <v>0</v>
      </c>
    </row>
    <row r="61" spans="2:31" ht="7.5" customHeight="1" thickTop="1">
      <c r="B61" s="168"/>
      <c r="C61" s="169"/>
      <c r="D61" s="183"/>
      <c r="E61" s="170"/>
      <c r="F61" s="170"/>
      <c r="G61" s="170"/>
      <c r="H61" s="170"/>
      <c r="I61" s="170"/>
      <c r="J61" s="170"/>
      <c r="K61" s="184"/>
      <c r="L61" s="184"/>
      <c r="M61" s="183"/>
      <c r="N61" s="183"/>
      <c r="O61" s="185"/>
      <c r="S61" s="63">
        <v>55</v>
      </c>
      <c r="T61" s="64">
        <f>IF(ISERROR($V61),0,MAX(((T60+Assumptions!$C$40)*(1+$V61))-Assumptions!$C$40,0))</f>
        <v>0</v>
      </c>
      <c r="U61" s="64">
        <f>IF(ISERROR($V61),0,MAX(((U60+(Assumptions!$C$40*aftCOC*(MIN((S61-5),1/aftCOC))))*(1+$V61))-(Assumptions!$C$40*aftCOC*(MIN((S61-5),1/aftCOC))),0))</f>
        <v>0</v>
      </c>
      <c r="V61" s="76">
        <f>IF(S61&lt;=Assumptions!$C$37,$W$11-($W$11*(S61-S$11)/(Assumptions!$C$37-5)),-(((S61-Assumptions!$C$37)/(Assumptions!$C$38-Assumptions!$C$37))^5))</f>
        <v>-32</v>
      </c>
      <c r="W61" s="66"/>
      <c r="X61" s="70"/>
      <c r="Y61" s="71">
        <f>T61/(1+aftCOC)^IF(Assumptions!$C$26="End",$S61,$S61-0.5)</f>
        <v>0</v>
      </c>
      <c r="Z61" s="71">
        <f>U61/(1+aftCOC)^IF(Assumptions!$C$26="End",$S61,$S61-0.5)</f>
        <v>0</v>
      </c>
      <c r="AA61" s="67"/>
      <c r="AB61" s="67"/>
      <c r="AC61" s="67"/>
      <c r="AD61" s="73">
        <f>IF(Assumptions!$T$33=TRUE,IF(Assumptions!$T$35=1,(((AD60+Assumptions!$C$40)*(1+$W$11)-Assumptions!$C$40)),T61),"")</f>
        <v>0</v>
      </c>
      <c r="AE61" s="73">
        <f>IF(Assumptions!$T$33=TRUE,IF(Assumptions!$T$35=1,(((AE60+(Assumptions!$C$40*aftCOC*(MIN((S61-5),1/aftCOC))))*(1+$W$11))-(Assumptions!$C$40*aftCOC*(MIN((S61-5),1/aftCOC)))),U61),"")</f>
        <v>0</v>
      </c>
    </row>
    <row r="62" spans="2:31" ht="6.75" customHeight="1">
      <c r="B62" s="143"/>
      <c r="C62" s="143"/>
      <c r="D62" s="143"/>
      <c r="E62" s="143"/>
      <c r="F62" s="143"/>
      <c r="G62" s="143"/>
      <c r="H62" s="143"/>
      <c r="I62" s="143"/>
      <c r="J62" s="143"/>
      <c r="K62" s="143"/>
      <c r="L62" s="143"/>
      <c r="M62" s="143"/>
      <c r="N62" s="143"/>
      <c r="O62" s="143"/>
      <c r="S62" s="63">
        <v>56</v>
      </c>
      <c r="T62" s="64">
        <f>IF(ISERROR($V62),0,MAX(((T61+Assumptions!$C$40)*(1+$V62))-Assumptions!$C$40,0))</f>
        <v>0</v>
      </c>
      <c r="U62" s="64">
        <f>IF(ISERROR($V62),0,MAX(((U61+(Assumptions!$C$40*aftCOC*(MIN((S62-5),1/aftCOC))))*(1+$V62))-(Assumptions!$C$40*aftCOC*(MIN((S62-5),1/aftCOC))),0))</f>
        <v>0</v>
      </c>
      <c r="V62" s="76">
        <f>IF(S62&lt;=Assumptions!$C$37,$W$11-($W$11*(S62-S$11)/(Assumptions!$C$37-5)),-(((S62-Assumptions!$C$37)/(Assumptions!$C$38-Assumptions!$C$37))^5))</f>
        <v>-37.70093958847738</v>
      </c>
      <c r="W62" s="66"/>
      <c r="X62" s="70"/>
      <c r="Y62" s="71">
        <f>T62/(1+aftCOC)^IF(Assumptions!$C$26="End",$S62,$S62-0.5)</f>
        <v>0</v>
      </c>
      <c r="Z62" s="71">
        <f>U62/(1+aftCOC)^IF(Assumptions!$C$26="End",$S62,$S62-0.5)</f>
        <v>0</v>
      </c>
      <c r="AA62" s="67"/>
      <c r="AB62" s="67"/>
      <c r="AC62" s="67"/>
      <c r="AD62" s="73">
        <f>IF(Assumptions!$T$33=TRUE,IF(Assumptions!$T$35=1,(((AD61+Assumptions!$C$40)*(1+$W$11)-Assumptions!$C$40)),T62),"")</f>
        <v>0</v>
      </c>
      <c r="AE62" s="73">
        <f>IF(Assumptions!$T$33=TRUE,IF(Assumptions!$T$35=1,(((AE61+(Assumptions!$C$40*aftCOC*(MIN((S62-5),1/aftCOC))))*(1+$W$11))-(Assumptions!$C$40*aftCOC*(MIN((S62-5),1/aftCOC)))),U62),"")</f>
        <v>0</v>
      </c>
    </row>
    <row r="63" spans="2:31" ht="12.75">
      <c r="B63" s="305" t="s">
        <v>201</v>
      </c>
      <c r="C63" s="306"/>
      <c r="D63" s="306"/>
      <c r="E63" s="306"/>
      <c r="F63" s="307"/>
      <c r="G63" s="143"/>
      <c r="H63" s="308" t="s">
        <v>202</v>
      </c>
      <c r="I63" s="309"/>
      <c r="J63" s="309"/>
      <c r="K63" s="309"/>
      <c r="L63" s="309"/>
      <c r="M63" s="309"/>
      <c r="N63" s="309"/>
      <c r="O63" s="310"/>
      <c r="S63" s="63">
        <v>57</v>
      </c>
      <c r="T63" s="64">
        <f>IF(ISERROR($V63),0,MAX(((T62+Assumptions!$C$40)*(1+$V63))-Assumptions!$C$40,0))</f>
        <v>0</v>
      </c>
      <c r="U63" s="64">
        <f>IF(ISERROR($V63),0,MAX(((U62+(Assumptions!$C$40*aftCOC*(MIN((S63-5),1/aftCOC))))*(1+$V63))-(Assumptions!$C$40*aftCOC*(MIN((S63-5),1/aftCOC))),0))</f>
        <v>0</v>
      </c>
      <c r="V63" s="76">
        <f>IF(S63&lt;=Assumptions!$C$37,$W$11-($W$11*(S63-S$11)/(Assumptions!$C$37-5)),-(((S63-Assumptions!$C$37)/(Assumptions!$C$38-Assumptions!$C$37))^5))</f>
        <v>-44.18690633744856</v>
      </c>
      <c r="W63" s="66"/>
      <c r="X63" s="70"/>
      <c r="Y63" s="71">
        <f>T63/(1+aftCOC)^IF(Assumptions!$C$26="End",$S63,$S63-0.5)</f>
        <v>0</v>
      </c>
      <c r="Z63" s="71">
        <f>U63/(1+aftCOC)^IF(Assumptions!$C$26="End",$S63,$S63-0.5)</f>
        <v>0</v>
      </c>
      <c r="AA63" s="67"/>
      <c r="AB63" s="67"/>
      <c r="AC63" s="67"/>
      <c r="AD63" s="73">
        <f>IF(Assumptions!$T$33=TRUE,IF(Assumptions!$T$35=1,(((AD62+Assumptions!$C$40)*(1+$W$11)-Assumptions!$C$40)),T63),"")</f>
        <v>0</v>
      </c>
      <c r="AE63" s="73">
        <f>IF(Assumptions!$T$33=TRUE,IF(Assumptions!$T$35=1,(((AE62+(Assumptions!$C$40*aftCOC*(MIN((S63-5),1/aftCOC))))*(1+$W$11))-(Assumptions!$C$40*aftCOC*(MIN((S63-5),1/aftCOC)))),U63),"")</f>
        <v>0</v>
      </c>
    </row>
    <row r="64" spans="2:31" ht="12.75">
      <c r="B64" s="150"/>
      <c r="C64" s="151"/>
      <c r="D64" s="151"/>
      <c r="E64" s="241" t="s">
        <v>186</v>
      </c>
      <c r="F64" s="241" t="s">
        <v>187</v>
      </c>
      <c r="G64" s="143"/>
      <c r="H64" s="242" t="s">
        <v>193</v>
      </c>
      <c r="I64" s="243"/>
      <c r="J64" s="244"/>
      <c r="K64" s="151"/>
      <c r="L64" s="242" t="s">
        <v>192</v>
      </c>
      <c r="M64" s="243"/>
      <c r="N64" s="243"/>
      <c r="O64" s="244"/>
      <c r="Q64" s="62"/>
      <c r="S64" s="63">
        <v>58</v>
      </c>
      <c r="T64" s="64">
        <f>IF(ISERROR($V64),0,MAX(((T63+Assumptions!$C$40)*(1+$V64))-Assumptions!$C$40,0))</f>
        <v>0</v>
      </c>
      <c r="U64" s="64">
        <f>IF(ISERROR($V64),0,MAX(((U63+(Assumptions!$C$40*aftCOC*(MIN((S64-5),1/aftCOC))))*(1+$V64))-(Assumptions!$C$40*aftCOC*(MIN((S64-5),1/aftCOC))),0))</f>
        <v>0</v>
      </c>
      <c r="V64" s="76">
        <f>IF(S64&lt;=Assumptions!$C$37,$W$11-($W$11*(S64-S$11)/(Assumptions!$C$37-5)),-(((S64-Assumptions!$C$37)/(Assumptions!$C$38-Assumptions!$C$37))^5))</f>
        <v>-51.53632000000002</v>
      </c>
      <c r="W64" s="66"/>
      <c r="X64" s="70"/>
      <c r="Y64" s="71">
        <f>T64/(1+aftCOC)^IF(Assumptions!$C$26="End",$S64,$S64-0.5)</f>
        <v>0</v>
      </c>
      <c r="Z64" s="71">
        <f>U64/(1+aftCOC)^IF(Assumptions!$C$26="End",$S64,$S64-0.5)</f>
        <v>0</v>
      </c>
      <c r="AA64" s="67"/>
      <c r="AB64" s="67"/>
      <c r="AC64" s="67"/>
      <c r="AD64" s="73">
        <f>IF(Assumptions!$T$33=TRUE,IF(Assumptions!$T$35=1,(((AD63+Assumptions!$C$40)*(1+$W$11)-Assumptions!$C$40)),T64),"")</f>
        <v>0</v>
      </c>
      <c r="AE64" s="73">
        <f>IF(Assumptions!$T$33=TRUE,IF(Assumptions!$T$35=1,(((AE63+(Assumptions!$C$40*aftCOC*(MIN((S64-5),1/aftCOC))))*(1+$W$11))-(Assumptions!$C$40*aftCOC*(MIN((S64-5),1/aftCOC)))),U64),"")</f>
        <v>0</v>
      </c>
    </row>
    <row r="65" spans="2:31" ht="12.75">
      <c r="B65" s="245"/>
      <c r="C65" s="246" t="s">
        <v>168</v>
      </c>
      <c r="D65" s="247"/>
      <c r="E65" s="248" t="str">
        <f>IF(K52=0,"No Capital",K54/K52)</f>
        <v>No Capital</v>
      </c>
      <c r="F65" s="249">
        <f>(IF(OR(E65="No Capital",E65&gt;Assumptions!B45),Assumptions!B45,IF(E65&lt;0,0,E65))/Assumptions!B45*Assumptions!C45)</f>
        <v>0.4</v>
      </c>
      <c r="G65" s="143"/>
      <c r="H65" s="250" t="s">
        <v>195</v>
      </c>
      <c r="I65" s="251"/>
      <c r="J65" s="252">
        <f>IF(ISERROR(((J24/F24)^(1/4))-1),"",((J24/F24)^(1/4))-1)</f>
      </c>
      <c r="K65" s="151"/>
      <c r="L65" s="253" t="s">
        <v>190</v>
      </c>
      <c r="M65" s="254"/>
      <c r="N65" s="255">
        <f>IF(ISERROR(Assumptions!C23/(Assumptions!C23+Assumptions!C20)),"",Assumptions!C23/(Assumptions!C23+Assumptions!C20))</f>
        <v>0.47368421052631576</v>
      </c>
      <c r="O65" s="256"/>
      <c r="S65" s="63">
        <v>59</v>
      </c>
      <c r="T65" s="64">
        <f>IF(ISERROR($V65),0,MAX(((T64+Assumptions!$C$40)*(1+$V65))-Assumptions!$C$40,0))</f>
        <v>0</v>
      </c>
      <c r="U65" s="64">
        <f>IF(ISERROR($V65),0,MAX(((U64+(Assumptions!$C$40*aftCOC*(MIN((S65-5),1/aftCOC))))*(1+$V65))-(Assumptions!$C$40*aftCOC*(MIN((S65-5),1/aftCOC))),0))</f>
        <v>0</v>
      </c>
      <c r="V65" s="76">
        <f>IF(S65&lt;=Assumptions!$C$37,$W$11-($W$11*(S65-S$11)/(Assumptions!$C$37-5)),-(((S65-Assumptions!$C$37)/(Assumptions!$C$38-Assumptions!$C$37))^5))</f>
        <v>-59.83265711934154</v>
      </c>
      <c r="W65" s="66"/>
      <c r="X65" s="70"/>
      <c r="Y65" s="71">
        <f>T65/(1+aftCOC)^IF(Assumptions!$C$26="End",$S65,$S65-0.5)</f>
        <v>0</v>
      </c>
      <c r="Z65" s="71">
        <f>U65/(1+aftCOC)^IF(Assumptions!$C$26="End",$S65,$S65-0.5)</f>
        <v>0</v>
      </c>
      <c r="AA65" s="67"/>
      <c r="AB65" s="67"/>
      <c r="AC65" s="67"/>
      <c r="AD65" s="73">
        <f>IF(Assumptions!$T$33=TRUE,IF(Assumptions!$T$35=1,(((AD64+Assumptions!$C$40)*(1+$W$11)-Assumptions!$C$40)),T65),"")</f>
        <v>0</v>
      </c>
      <c r="AE65" s="73">
        <f>IF(Assumptions!$T$33=TRUE,IF(Assumptions!$T$35=1,(((AE64+(Assumptions!$C$40*aftCOC*(MIN((S65-5),1/aftCOC))))*(1+$W$11))-(Assumptions!$C$40*aftCOC*(MIN((S65-5),1/aftCOC)))),U65),"")</f>
        <v>0</v>
      </c>
    </row>
    <row r="66" spans="2:31" ht="12.75">
      <c r="B66" s="257"/>
      <c r="C66" s="258" t="s">
        <v>189</v>
      </c>
      <c r="D66" s="259"/>
      <c r="E66" s="260">
        <f>E39</f>
        <v>0</v>
      </c>
      <c r="F66" s="261">
        <f>IF(E66&gt;Assumptions!B47,Assumptions!B47,IF(E66&lt;0,0,E66))/Assumptions!B47*Assumptions!C47</f>
        <v>0</v>
      </c>
      <c r="G66" s="143"/>
      <c r="H66" s="262" t="s">
        <v>196</v>
      </c>
      <c r="I66" s="263"/>
      <c r="J66" s="261">
        <f>IF(ISERROR(((J25/F25)^(1/4))-1),"",((J25/F25)^(1/4))-1)</f>
      </c>
      <c r="K66" s="151"/>
      <c r="L66" s="262" t="s">
        <v>191</v>
      </c>
      <c r="M66" s="264"/>
      <c r="N66" s="265">
        <f>IF(ISERROR(After!J269/(After!J268+After!J269)),"",After!J269/(After!J268+After!J269))</f>
        <v>0.47368421052631576</v>
      </c>
      <c r="O66" s="259"/>
      <c r="S66" s="63">
        <v>60</v>
      </c>
      <c r="T66" s="64">
        <f>IF(ISERROR($V66),0,MAX(((T65+Assumptions!$C$40)*(1+$V66))-Assumptions!$C$40,0))</f>
        <v>0</v>
      </c>
      <c r="U66" s="64">
        <f>IF(ISERROR($V66),0,MAX(((U65+(Assumptions!$C$40*aftCOC*(MIN((S66-5),1/aftCOC))))*(1+$V66))-(Assumptions!$C$40*aftCOC*(MIN((S66-5),1/aftCOC))),0))</f>
        <v>0</v>
      </c>
      <c r="V66" s="76">
        <f>IF(S66&lt;=Assumptions!$C$37,$W$11-($W$11*(S66-S$11)/(Assumptions!$C$37-5)),-(((S66-Assumptions!$C$37)/(Assumptions!$C$38-Assumptions!$C$37))^5))</f>
        <v>-69.16460905349798</v>
      </c>
      <c r="W66" s="66"/>
      <c r="X66" s="70"/>
      <c r="Y66" s="71">
        <f>T66/(1+aftCOC)^IF(Assumptions!$C$26="End",$S66,$S66-0.5)</f>
        <v>0</v>
      </c>
      <c r="Z66" s="71">
        <f>U66/(1+aftCOC)^IF(Assumptions!$C$26="End",$S66,$S66-0.5)</f>
        <v>0</v>
      </c>
      <c r="AA66" s="67"/>
      <c r="AB66" s="67"/>
      <c r="AC66" s="77"/>
      <c r="AD66" s="73">
        <f>IF(Assumptions!$T$33=TRUE,IF(Assumptions!$T$35=1,(((AD65+Assumptions!$C$40)*(1+$W$11)-Assumptions!$C$40)),T66),"")</f>
        <v>0</v>
      </c>
      <c r="AE66" s="73">
        <f>IF(Assumptions!$T$33=TRUE,IF(Assumptions!$T$35=1,(((AE65+(Assumptions!$C$40*aftCOC*(MIN((S66-5),1/aftCOC))))*(1+$W$11))-(Assumptions!$C$40*aftCOC*(MIN((S66-5),1/aftCOC)))),U66),"")</f>
        <v>0</v>
      </c>
    </row>
    <row r="67" spans="2:31" ht="12.75">
      <c r="B67" s="257"/>
      <c r="C67" s="258" t="s">
        <v>107</v>
      </c>
      <c r="D67" s="259"/>
      <c r="E67" s="266" t="str">
        <f>IF((SUM(E25:F25)+SUM(E31:F31))&lt;&gt;0,(SUM(F33:J33)-F25-F31)/-(SUM(E25:F25)+SUM(E31:F31)),"No Upfront")</f>
        <v>No Upfront</v>
      </c>
      <c r="F67" s="261">
        <f>IF(E67&gt;Assumptions!B49,Assumptions!B49,IF(E67&lt;0,0,E67))/Assumptions!B49*Assumptions!C49</f>
        <v>0.05</v>
      </c>
      <c r="G67" s="143"/>
      <c r="H67" s="262" t="s">
        <v>198</v>
      </c>
      <c r="I67" s="263"/>
      <c r="J67" s="261">
        <f>IF(ISERROR(((J28/F28)^(1/4))-1),"",((J28/F28)^(1/4))-1)</f>
      </c>
      <c r="K67" s="151"/>
      <c r="L67" s="267"/>
      <c r="M67" s="268" t="s">
        <v>197</v>
      </c>
      <c r="N67" s="269">
        <f>N66-N65</f>
        <v>0</v>
      </c>
      <c r="O67" s="270"/>
      <c r="S67" s="63">
        <v>61</v>
      </c>
      <c r="T67" s="64">
        <f>IF(ISERROR($V67),0,MAX(((T66+Assumptions!$C$40)*(1+$V67))-Assumptions!$C$40,0))</f>
        <v>0</v>
      </c>
      <c r="U67" s="64">
        <f>IF(ISERROR($V67),0,MAX(((U66+(Assumptions!$C$40*aftCOC*(MIN((S67-5),1/aftCOC))))*(1+$V67))-(Assumptions!$C$40*aftCOC*(MIN((S67-5),1/aftCOC))),0))</f>
        <v>0</v>
      </c>
      <c r="V67" s="76">
        <f>IF(S67&lt;=Assumptions!$C$37,$W$11-($W$11*(S67-S$11)/(Assumptions!$C$37-5)),-(((S67-Assumptions!$C$37)/(Assumptions!$C$38-Assumptions!$C$37))^5))</f>
        <v>-79.62624</v>
      </c>
      <c r="W67" s="66"/>
      <c r="X67" s="70"/>
      <c r="Y67" s="71">
        <f>T67/(1+aftCOC)^IF(Assumptions!$C$26="End",$S67,$S67-0.5)</f>
        <v>0</v>
      </c>
      <c r="Z67" s="71">
        <f>U67/(1+aftCOC)^IF(Assumptions!$C$26="End",$S67,$S67-0.5)</f>
        <v>0</v>
      </c>
      <c r="AA67" s="67"/>
      <c r="AB67" s="67"/>
      <c r="AC67" s="77"/>
      <c r="AD67" s="73">
        <f>IF(Assumptions!$T$33=TRUE,IF(Assumptions!$T$35=1,(((AD66+Assumptions!$C$40)*(1+$W$11)-Assumptions!$C$40)),T67),"")</f>
        <v>0</v>
      </c>
      <c r="AE67" s="73">
        <f>IF(Assumptions!$T$33=TRUE,IF(Assumptions!$T$35=1,(((AE66+(Assumptions!$C$40*aftCOC*(MIN((S67-5),1/aftCOC))))*(1+$W$11))-(Assumptions!$C$40*aftCOC*(MIN((S67-5),1/aftCOC)))),U67),"")</f>
        <v>0</v>
      </c>
    </row>
    <row r="68" spans="2:31" ht="12.75">
      <c r="B68" s="257"/>
      <c r="C68" s="258" t="s">
        <v>184</v>
      </c>
      <c r="D68" s="259"/>
      <c r="E68" s="271">
        <f>IF(K33&lt;0,"&gt;5",IF(SUM(E33:I33)&gt;0,IF(SUM(E33:H33)&gt;0,IF(SUM(E33:G33)&gt;0,IF(SUM(E33:F33)&gt;0,IF(E33&gt;0,0,1),2),3),4),5))</f>
        <v>5</v>
      </c>
      <c r="F68" s="272">
        <f>(IF(OR(E68="&gt;5",E68&gt;Assumptions!B51),0,((1-E68/Assumptions!B51)*Assumptions!C51)))</f>
        <v>0</v>
      </c>
      <c r="G68" s="143"/>
      <c r="H68" s="262" t="s">
        <v>194</v>
      </c>
      <c r="I68" s="263"/>
      <c r="J68" s="261">
        <f>IF(ISERROR(((J33/F33)^(1/4))-1),"",((J33/F33)^(1/4))-1)</f>
      </c>
      <c r="K68" s="151"/>
      <c r="L68" s="151"/>
      <c r="M68" s="151"/>
      <c r="N68" s="183"/>
      <c r="O68" s="185"/>
      <c r="S68" s="63">
        <v>62</v>
      </c>
      <c r="T68" s="64">
        <f>IF(ISERROR($V68),0,MAX(((T67+Assumptions!$C$40)*(1+$V68))-Assumptions!$C$40,0))</f>
        <v>0</v>
      </c>
      <c r="U68" s="64">
        <f>IF(ISERROR($V68),0,MAX(((U67+(Assumptions!$C$40*aftCOC*(MIN((S68-5),1/aftCOC))))*(1+$V68))-(Assumptions!$C$40*aftCOC*(MIN((S68-5),1/aftCOC))),0))</f>
        <v>0</v>
      </c>
      <c r="V68" s="76">
        <f>IF(S68&lt;=Assumptions!$C$37,$W$11-($W$11*(S68-S$11)/(Assumptions!$C$37-5)),-(((S68-Assumptions!$C$37)/(Assumptions!$C$38-Assumptions!$C$37))^5))</f>
        <v>-91.31714502057615</v>
      </c>
      <c r="W68" s="66"/>
      <c r="X68" s="70"/>
      <c r="Y68" s="71">
        <f>T68/(1+aftCOC)^IF(Assumptions!$C$26="End",$S68,$S68-0.5)</f>
        <v>0</v>
      </c>
      <c r="Z68" s="71">
        <f>U68/(1+aftCOC)^IF(Assumptions!$C$26="End",$S68,$S68-0.5)</f>
        <v>0</v>
      </c>
      <c r="AA68" s="67"/>
      <c r="AB68" s="67"/>
      <c r="AC68" s="77"/>
      <c r="AD68" s="73">
        <f>IF(Assumptions!$T$33=TRUE,IF(Assumptions!$T$35=1,(((AD67+Assumptions!$C$40)*(1+$W$11)-Assumptions!$C$40)),T68),"")</f>
        <v>0</v>
      </c>
      <c r="AE68" s="73">
        <f>IF(Assumptions!$T$33=TRUE,IF(Assumptions!$T$35=1,(((AE67+(Assumptions!$C$40*aftCOC*(MIN((S68-5),1/aftCOC))))*(1+$W$11))-(Assumptions!$C$40*aftCOC*(MIN((S68-5),1/aftCOC)))),U68),"")</f>
        <v>0</v>
      </c>
    </row>
    <row r="69" spans="2:31" ht="12.75">
      <c r="B69" s="273"/>
      <c r="C69" s="274" t="s">
        <v>188</v>
      </c>
      <c r="D69" s="270"/>
      <c r="E69" s="275">
        <f>SUM(E33:G33)</f>
        <v>0</v>
      </c>
      <c r="F69" s="276">
        <f>IF(E69&gt;Assumptions!B53,Assumptions!B53,IF(E69&lt;0,0,E69))/Assumptions!B53*Assumptions!C53</f>
        <v>0</v>
      </c>
      <c r="G69" s="143"/>
      <c r="H69" s="262" t="s">
        <v>199</v>
      </c>
      <c r="I69" s="263"/>
      <c r="J69" s="261">
        <f>IF(ISERROR(((J50/F50)^(1/4))-1),"",((J50/F50)^(1/4))-1)</f>
      </c>
      <c r="K69" s="151"/>
      <c r="L69" s="242" t="s">
        <v>200</v>
      </c>
      <c r="M69" s="243"/>
      <c r="N69" s="243"/>
      <c r="O69" s="244"/>
      <c r="S69" s="63">
        <v>63</v>
      </c>
      <c r="T69" s="64">
        <f>IF(ISERROR($V69),0,MAX(((T68+Assumptions!$C$40)*(1+$V69))-Assumptions!$C$40,0))</f>
        <v>0</v>
      </c>
      <c r="U69" s="64">
        <f>IF(ISERROR($V69),0,MAX(((U68+(Assumptions!$C$40*aftCOC*(MIN((S69-5),1/aftCOC))))*(1+$V69))-(Assumptions!$C$40*aftCOC*(MIN((S69-5),1/aftCOC))),0))</f>
        <v>0</v>
      </c>
      <c r="V69" s="76">
        <f>IF(S69&lt;=Assumptions!$C$37,$W$11-($W$11*(S69-S$11)/(Assumptions!$C$37-5)),-(((S69-Assumptions!$C$37)/(Assumptions!$C$38-Assumptions!$C$37))^5))</f>
        <v>-104.3426080658436</v>
      </c>
      <c r="W69" s="66"/>
      <c r="X69" s="70"/>
      <c r="Y69" s="71">
        <f>T69/(1+aftCOC)^IF(Assumptions!$C$26="End",$S69,$S69-0.5)</f>
        <v>0</v>
      </c>
      <c r="Z69" s="71">
        <f>U69/(1+aftCOC)^IF(Assumptions!$C$26="End",$S69,$S69-0.5)</f>
        <v>0</v>
      </c>
      <c r="AA69" s="67"/>
      <c r="AB69" s="67"/>
      <c r="AC69" s="77"/>
      <c r="AD69" s="73">
        <f>IF(Assumptions!$T$33=TRUE,IF(Assumptions!$T$35=1,(((AD68+Assumptions!$C$40)*(1+$W$11)-Assumptions!$C$40)),T69),"")</f>
        <v>0</v>
      </c>
      <c r="AE69" s="73">
        <f>IF(Assumptions!$T$33=TRUE,IF(Assumptions!$T$35=1,(((AE68+(Assumptions!$C$40*aftCOC*(MIN((S69-5),1/aftCOC))))*(1+$W$11))-(Assumptions!$C$40*aftCOC*(MIN((S69-5),1/aftCOC)))),U69),"")</f>
        <v>0</v>
      </c>
    </row>
    <row r="70" spans="2:31" ht="12.75">
      <c r="B70" s="206"/>
      <c r="C70" s="183"/>
      <c r="D70" s="183"/>
      <c r="E70" s="277" t="s">
        <v>203</v>
      </c>
      <c r="F70" s="278">
        <f>SUM(F65:F69)</f>
        <v>0.45</v>
      </c>
      <c r="G70" s="279"/>
      <c r="H70" s="280" t="s">
        <v>177</v>
      </c>
      <c r="I70" s="281"/>
      <c r="J70" s="276">
        <f>IF(ISERROR(((J54/F54)^(1/4))-1),"",((J54/F54)^(1/4))-1)</f>
      </c>
      <c r="K70" s="282"/>
      <c r="L70" s="283"/>
      <c r="M70" s="243"/>
      <c r="N70" s="284" t="str">
        <f>IF(ISERROR(MIRR(E33:J33,WACC,WACC)*100),"No solution",MIRR(E33:J33,WACC,WACC)*100)</f>
        <v>No solution</v>
      </c>
      <c r="O70" s="244"/>
      <c r="S70" s="63">
        <v>64</v>
      </c>
      <c r="T70" s="64">
        <f>IF(ISERROR($V70),0,MAX(((T69+Assumptions!$C$40)*(1+$V70))-Assumptions!$C$40,0))</f>
        <v>0</v>
      </c>
      <c r="U70" s="64">
        <f>IF(ISERROR($V70),0,MAX(((U69+(Assumptions!$C$40*aftCOC*(MIN((S70-5),1/aftCOC))))*(1+$V70))-(Assumptions!$C$40*aftCOC*(MIN((S70-5),1/aftCOC))),0))</f>
        <v>0</v>
      </c>
      <c r="V70" s="76">
        <f>IF(S70&lt;=Assumptions!$C$37,$W$11-($W$11*(S70-S$11)/(Assumptions!$C$37-5)),-(((S70-Assumptions!$C$37)/(Assumptions!$C$38-Assumptions!$C$37))^5))</f>
        <v>-118.81376000000003</v>
      </c>
      <c r="W70" s="66"/>
      <c r="X70" s="70"/>
      <c r="Y70" s="71">
        <f>T70/(1+aftCOC)^IF(Assumptions!$C$26="End",$S70,$S70-0.5)</f>
        <v>0</v>
      </c>
      <c r="Z70" s="71">
        <f>U70/(1+aftCOC)^IF(Assumptions!$C$26="End",$S70,$S70-0.5)</f>
        <v>0</v>
      </c>
      <c r="AA70" s="67"/>
      <c r="AB70" s="67"/>
      <c r="AC70" s="77"/>
      <c r="AD70" s="73">
        <f>IF(Assumptions!$T$33=TRUE,IF(Assumptions!$T$35=1,(((AD69+Assumptions!$C$40)*(1+$W$11)-Assumptions!$C$40)),T70),"")</f>
        <v>0</v>
      </c>
      <c r="AE70" s="73">
        <f>IF(Assumptions!$T$33=TRUE,IF(Assumptions!$T$35=1,(((AE69+(Assumptions!$C$40*aftCOC*(MIN((S70-5),1/aftCOC))))*(1+$W$11))-(Assumptions!$C$40*aftCOC*(MIN((S70-5),1/aftCOC)))),U70),"")</f>
        <v>0</v>
      </c>
    </row>
    <row r="71" spans="2:31" ht="12.75">
      <c r="B71" s="143"/>
      <c r="C71" s="143"/>
      <c r="D71" s="143"/>
      <c r="E71" s="143"/>
      <c r="F71" s="143"/>
      <c r="G71" s="143"/>
      <c r="H71" s="143"/>
      <c r="I71" s="143"/>
      <c r="J71" s="143"/>
      <c r="K71" s="143"/>
      <c r="L71" s="143"/>
      <c r="M71" s="143"/>
      <c r="N71" s="143"/>
      <c r="O71" s="143"/>
      <c r="S71" s="63">
        <v>65</v>
      </c>
      <c r="T71" s="64">
        <f>IF(ISERROR($V71),0,MAX(((T70+Assumptions!$C$40)*(1+$V71))-Assumptions!$C$40,0))</f>
        <v>0</v>
      </c>
      <c r="U71" s="64">
        <f>IF(ISERROR($V71),0,MAX(((U70+(Assumptions!$C$40*aftCOC*(MIN((S71-5),1/aftCOC))))*(1+$V71))-(Assumptions!$C$40*aftCOC*(MIN((S71-5),1/aftCOC))),0))</f>
        <v>0</v>
      </c>
      <c r="V71" s="76">
        <f>IF(S71&lt;=Assumptions!$C$37,$W$11-($W$11*(S71-S$11)/(Assumptions!$C$37-5)),-(((S71-Assumptions!$C$37)/(Assumptions!$C$38-Assumptions!$C$37))^5))</f>
        <v>-134.8477366255144</v>
      </c>
      <c r="W71" s="66"/>
      <c r="X71" s="70"/>
      <c r="Y71" s="71">
        <f>T71/(1+aftCOC)^IF(Assumptions!$C$26="End",$S71,$S71-0.5)</f>
        <v>0</v>
      </c>
      <c r="Z71" s="71">
        <f>U71/(1+aftCOC)^IF(Assumptions!$C$26="End",$S71,$S71-0.5)</f>
        <v>0</v>
      </c>
      <c r="AA71" s="67"/>
      <c r="AB71" s="67"/>
      <c r="AC71" s="78"/>
      <c r="AD71" s="73">
        <f>IF(Assumptions!$T$33=TRUE,IF(Assumptions!$T$35=1,(((AD70+Assumptions!$C$40)*(1+$W$11)-Assumptions!$C$40)),T71),"")</f>
        <v>0</v>
      </c>
      <c r="AE71" s="73">
        <f>IF(Assumptions!$T$33=TRUE,IF(Assumptions!$T$35=1,(((AE70+(Assumptions!$C$40*aftCOC*(MIN((S71-5),1/aftCOC))))*(1+$W$11))-(Assumptions!$C$40*aftCOC*(MIN((S71-5),1/aftCOC)))),U71),"")</f>
        <v>0</v>
      </c>
    </row>
    <row r="72" spans="2:31" ht="12.75">
      <c r="B72" s="305" t="s">
        <v>205</v>
      </c>
      <c r="C72" s="306"/>
      <c r="D72" s="306"/>
      <c r="E72" s="306"/>
      <c r="F72" s="306"/>
      <c r="G72" s="306"/>
      <c r="H72" s="306"/>
      <c r="I72" s="306"/>
      <c r="J72" s="306"/>
      <c r="K72" s="306"/>
      <c r="L72" s="306"/>
      <c r="M72" s="306"/>
      <c r="N72" s="306"/>
      <c r="O72" s="307"/>
      <c r="S72" s="63">
        <v>66</v>
      </c>
      <c r="T72" s="64">
        <f>IF(ISERROR($V72),0,MAX(((T71+Assumptions!$C$40)*(1+$V72))-Assumptions!$C$40,0))</f>
        <v>0</v>
      </c>
      <c r="U72" s="64">
        <f>IF(ISERROR($V72),0,MAX(((U71+(Assumptions!$C$40*aftCOC*(MIN((S72-5),1/aftCOC))))*(1+$V72))-(Assumptions!$C$40*aftCOC*(MIN((S72-5),1/aftCOC))),0))</f>
        <v>0</v>
      </c>
      <c r="V72" s="76">
        <f>IF(S72&lt;=Assumptions!$C$37,$W$11-($W$11*(S72-S$11)/(Assumptions!$C$37-5)),-(((S72-Assumptions!$C$37)/(Assumptions!$C$38-Assumptions!$C$37))^5))</f>
        <v>-152.56783670781894</v>
      </c>
      <c r="W72" s="66"/>
      <c r="X72" s="70"/>
      <c r="Y72" s="71">
        <f>T72/(1+aftCOC)^IF(Assumptions!$C$26="End",$S72,$S72-0.5)</f>
        <v>0</v>
      </c>
      <c r="Z72" s="71">
        <f>U72/(1+aftCOC)^IF(Assumptions!$C$26="End",$S72,$S72-0.5)</f>
        <v>0</v>
      </c>
      <c r="AA72" s="67"/>
      <c r="AB72" s="67"/>
      <c r="AC72" s="77"/>
      <c r="AD72" s="73">
        <f>IF(Assumptions!$T$33=TRUE,IF(Assumptions!$T$35=1,(((AD71+Assumptions!$C$40)*(1+$W$11)-Assumptions!$C$40)),T72),"")</f>
        <v>0</v>
      </c>
      <c r="AE72" s="73">
        <f>IF(Assumptions!$T$33=TRUE,IF(Assumptions!$T$35=1,(((AE71+(Assumptions!$C$40*aftCOC*(MIN((S72-5),1/aftCOC))))*(1+$W$11))-(Assumptions!$C$40*aftCOC*(MIN((S72-5),1/aftCOC)))),U72),"")</f>
        <v>0</v>
      </c>
    </row>
    <row r="73" spans="2:31" ht="12.75">
      <c r="B73" s="150"/>
      <c r="C73" s="216"/>
      <c r="D73" s="151"/>
      <c r="E73" s="151"/>
      <c r="F73" s="151"/>
      <c r="G73" s="151"/>
      <c r="H73" s="151"/>
      <c r="I73" s="151"/>
      <c r="J73" s="151"/>
      <c r="K73" s="151"/>
      <c r="L73" s="151"/>
      <c r="M73" s="151"/>
      <c r="N73" s="151"/>
      <c r="O73" s="178"/>
      <c r="S73" s="63">
        <v>67</v>
      </c>
      <c r="T73" s="64">
        <f>IF(ISERROR($V73),0,MAX(((T72+Assumptions!$C$40)*(1+$V73))-Assumptions!$C$40,0))</f>
        <v>0</v>
      </c>
      <c r="U73" s="64">
        <f>IF(ISERROR($V73),0,MAX(((U72+(Assumptions!$C$40*aftCOC*(MIN((S73-5),1/aftCOC))))*(1+$V73))-(Assumptions!$C$40*aftCOC*(MIN((S73-5),1/aftCOC))),0))</f>
        <v>0</v>
      </c>
      <c r="V73" s="76">
        <f>IF(S73&lt;=Assumptions!$C$37,$W$11-($W$11*(S73-S$11)/(Assumptions!$C$37-5)),-(((S73-Assumptions!$C$37)/(Assumptions!$C$38-Assumptions!$C$37))^5))</f>
        <v>-172.10367999999994</v>
      </c>
      <c r="W73" s="66"/>
      <c r="X73" s="70"/>
      <c r="Y73" s="71">
        <f>T73/(1+aftCOC)^IF(Assumptions!$C$26="End",$S73,$S73-0.5)</f>
        <v>0</v>
      </c>
      <c r="Z73" s="71">
        <f>U73/(1+aftCOC)^IF(Assumptions!$C$26="End",$S73,$S73-0.5)</f>
        <v>0</v>
      </c>
      <c r="AA73" s="67"/>
      <c r="AB73" s="67"/>
      <c r="AC73" s="77"/>
      <c r="AD73" s="73">
        <f>IF(Assumptions!$T$33=TRUE,IF(Assumptions!$T$35=1,(((AD72+Assumptions!$C$40)*(1+$W$11)-Assumptions!$C$40)),T73),"")</f>
        <v>0</v>
      </c>
      <c r="AE73" s="73">
        <f>IF(Assumptions!$T$33=TRUE,IF(Assumptions!$T$35=1,(((AE72+(Assumptions!$C$40*aftCOC*(MIN((S73-5),1/aftCOC))))*(1+$W$11))-(Assumptions!$C$40*aftCOC*(MIN((S73-5),1/aftCOC)))),U73),"")</f>
        <v>0</v>
      </c>
    </row>
    <row r="74" spans="2:31" ht="12.75">
      <c r="B74" s="150"/>
      <c r="C74" s="151"/>
      <c r="D74" s="151"/>
      <c r="E74" s="151"/>
      <c r="F74" s="151"/>
      <c r="G74" s="151"/>
      <c r="H74" s="151"/>
      <c r="I74" s="151"/>
      <c r="J74" s="151"/>
      <c r="K74" s="151"/>
      <c r="L74" s="151"/>
      <c r="M74" s="151"/>
      <c r="N74" s="151"/>
      <c r="O74" s="178"/>
      <c r="S74" s="63">
        <v>68</v>
      </c>
      <c r="T74" s="64">
        <f>IF(ISERROR($V74),0,MAX(((T73+Assumptions!$C$40)*(1+$V74))-Assumptions!$C$40,0))</f>
        <v>0</v>
      </c>
      <c r="U74" s="64">
        <f>IF(ISERROR($V74),0,MAX(((U73+(Assumptions!$C$40*aftCOC*(MIN((S74-5),1/aftCOC))))*(1+$V74))-(Assumptions!$C$40*aftCOC*(MIN((S74-5),1/aftCOC))),0))</f>
        <v>0</v>
      </c>
      <c r="V74" s="76">
        <f>IF(S74&lt;=Assumptions!$C$37,$W$11-($W$11*(S74-S$11)/(Assumptions!$C$37-5)),-(((S74-Assumptions!$C$37)/(Assumptions!$C$38-Assumptions!$C$37))^5))</f>
        <v>-193.59136526748972</v>
      </c>
      <c r="W74" s="66"/>
      <c r="X74" s="70"/>
      <c r="Y74" s="71">
        <f>T74/(1+aftCOC)^IF(Assumptions!$C$26="End",$S74,$S74-0.5)</f>
        <v>0</v>
      </c>
      <c r="Z74" s="71">
        <f>U74/(1+aftCOC)^IF(Assumptions!$C$26="End",$S74,$S74-0.5)</f>
        <v>0</v>
      </c>
      <c r="AA74" s="67"/>
      <c r="AB74" s="67"/>
      <c r="AC74" s="77"/>
      <c r="AD74" s="73">
        <f>IF(Assumptions!$T$33=TRUE,IF(Assumptions!$T$35=1,(((AD73+Assumptions!$C$40)*(1+$W$11)-Assumptions!$C$40)),T74),"")</f>
        <v>0</v>
      </c>
      <c r="AE74" s="73">
        <f>IF(Assumptions!$T$33=TRUE,IF(Assumptions!$T$35=1,(((AE73+(Assumptions!$C$40*aftCOC*(MIN((S74-5),1/aftCOC))))*(1+$W$11))-(Assumptions!$C$40*aftCOC*(MIN((S74-5),1/aftCOC)))),U74),"")</f>
        <v>0</v>
      </c>
    </row>
    <row r="75" spans="2:31" ht="12.75">
      <c r="B75" s="150"/>
      <c r="C75" s="151"/>
      <c r="D75" s="151"/>
      <c r="E75" s="151"/>
      <c r="F75" s="151"/>
      <c r="G75" s="151"/>
      <c r="H75" s="151"/>
      <c r="I75" s="151"/>
      <c r="J75" s="151"/>
      <c r="K75" s="151"/>
      <c r="L75" s="151"/>
      <c r="M75" s="151"/>
      <c r="N75" s="151"/>
      <c r="O75" s="178"/>
      <c r="S75" s="63">
        <v>69</v>
      </c>
      <c r="T75" s="64">
        <f>IF(ISERROR($V75),0,MAX(((T74+Assumptions!$C$40)*(1+$V75))-Assumptions!$C$40,0))</f>
        <v>0</v>
      </c>
      <c r="U75" s="64">
        <f>IF(ISERROR($V75),0,MAX(((U74+(Assumptions!$C$40*aftCOC*(MIN((S75-5),1/aftCOC))))*(1+$V75))-(Assumptions!$C$40*aftCOC*(MIN((S75-5),1/aftCOC))),0))</f>
        <v>0</v>
      </c>
      <c r="V75" s="76">
        <f>IF(S75&lt;=Assumptions!$C$37,$W$11-($W$11*(S75-S$11)/(Assumptions!$C$37-5)),-(((S75-Assumptions!$C$37)/(Assumptions!$C$38-Assumptions!$C$37))^5))</f>
        <v>-217.1736283127571</v>
      </c>
      <c r="W75" s="66"/>
      <c r="X75" s="70"/>
      <c r="Y75" s="71">
        <f>T75/(1+aftCOC)^IF(Assumptions!$C$26="End",$S75,$S75-0.5)</f>
        <v>0</v>
      </c>
      <c r="Z75" s="71">
        <f>U75/(1+aftCOC)^IF(Assumptions!$C$26="End",$S75,$S75-0.5)</f>
        <v>0</v>
      </c>
      <c r="AA75" s="67"/>
      <c r="AB75" s="67"/>
      <c r="AC75" s="77"/>
      <c r="AD75" s="73">
        <f>IF(Assumptions!$T$33=TRUE,IF(Assumptions!$T$35=1,(((AD74+Assumptions!$C$40)*(1+$W$11)-Assumptions!$C$40)),T75),"")</f>
        <v>0</v>
      </c>
      <c r="AE75" s="73">
        <f>IF(Assumptions!$T$33=TRUE,IF(Assumptions!$T$35=1,(((AE74+(Assumptions!$C$40*aftCOC*(MIN((S75-5),1/aftCOC))))*(1+$W$11))-(Assumptions!$C$40*aftCOC*(MIN((S75-5),1/aftCOC)))),U75),"")</f>
        <v>0</v>
      </c>
    </row>
    <row r="76" spans="2:31" ht="12.75">
      <c r="B76" s="150"/>
      <c r="C76" s="151"/>
      <c r="D76" s="151"/>
      <c r="E76" s="151"/>
      <c r="F76" s="151"/>
      <c r="G76" s="151"/>
      <c r="H76" s="151"/>
      <c r="I76" s="151"/>
      <c r="J76" s="151"/>
      <c r="K76" s="151"/>
      <c r="L76" s="151"/>
      <c r="M76" s="151"/>
      <c r="N76" s="151"/>
      <c r="O76" s="178"/>
      <c r="S76" s="63">
        <v>70</v>
      </c>
      <c r="T76" s="64">
        <f>IF(ISERROR($V76),0,MAX(((T75+Assumptions!$C$40)*(1+$V76))-Assumptions!$C$40,0))</f>
        <v>0</v>
      </c>
      <c r="U76" s="64">
        <f>IF(ISERROR($V76),0,MAX(((U75+(Assumptions!$C$40*aftCOC*(MIN((S76-5),1/aftCOC))))*(1+$V76))-(Assumptions!$C$40*aftCOC*(MIN((S76-5),1/aftCOC))),0))</f>
        <v>0</v>
      </c>
      <c r="V76" s="76">
        <f>IF(S76&lt;=Assumptions!$C$37,$W$11-($W$11*(S76-S$11)/(Assumptions!$C$37-5)),-(((S76-Assumptions!$C$37)/(Assumptions!$C$38-Assumptions!$C$37))^5))</f>
        <v>-243</v>
      </c>
      <c r="W76" s="66"/>
      <c r="X76" s="70"/>
      <c r="Y76" s="71">
        <f>T76/(1+aftCOC)^IF(Assumptions!$C$26="End",$S76,$S76-0.5)</f>
        <v>0</v>
      </c>
      <c r="Z76" s="71">
        <f>U76/(1+aftCOC)^IF(Assumptions!$C$26="End",$S76,$S76-0.5)</f>
        <v>0</v>
      </c>
      <c r="AA76" s="67"/>
      <c r="AB76" s="67"/>
      <c r="AC76" s="77"/>
      <c r="AD76" s="73">
        <f>IF(Assumptions!$T$33=TRUE,IF(Assumptions!$T$35=1,(((AD75+Assumptions!$C$40)*(1+$W$11)-Assumptions!$C$40)),T76),"")</f>
        <v>0</v>
      </c>
      <c r="AE76" s="73">
        <f>IF(Assumptions!$T$33=TRUE,IF(Assumptions!$T$35=1,(((AE75+(Assumptions!$C$40*aftCOC*(MIN((S76-5),1/aftCOC))))*(1+$W$11))-(Assumptions!$C$40*aftCOC*(MIN((S76-5),1/aftCOC)))),U76),"")</f>
        <v>0</v>
      </c>
    </row>
    <row r="77" spans="2:31" ht="12.75">
      <c r="B77" s="150"/>
      <c r="C77" s="151"/>
      <c r="D77" s="151"/>
      <c r="E77" s="151"/>
      <c r="F77" s="151"/>
      <c r="G77" s="151"/>
      <c r="H77" s="151"/>
      <c r="I77" s="151"/>
      <c r="J77" s="151"/>
      <c r="K77" s="151"/>
      <c r="L77" s="151"/>
      <c r="M77" s="151"/>
      <c r="N77" s="151"/>
      <c r="O77" s="178"/>
      <c r="S77" s="63">
        <v>71</v>
      </c>
      <c r="T77" s="64">
        <f>IF(ISERROR($V77),0,MAX(((T76+Assumptions!$C$40)*(1+$V77))-Assumptions!$C$40,0))</f>
        <v>0</v>
      </c>
      <c r="U77" s="64">
        <f>IF(ISERROR($V77),0,MAX(((U76+(Assumptions!$C$40*aftCOC*(MIN((S77-5),1/aftCOC))))*(1+$V77))-(Assumptions!$C$40*aftCOC*(MIN((S77-5),1/aftCOC))),0))</f>
        <v>0</v>
      </c>
      <c r="V77" s="76">
        <f>IF(S77&lt;=Assumptions!$C$37,$W$11-($W$11*(S77-S$11)/(Assumptions!$C$37-5)),-(((S77-Assumptions!$C$37)/(Assumptions!$C$38-Assumptions!$C$37))^5))</f>
        <v>-271.2269642798355</v>
      </c>
      <c r="W77" s="66"/>
      <c r="X77" s="70"/>
      <c r="Y77" s="71">
        <f>T77/(1+aftCOC)^IF(Assumptions!$C$26="End",$S77,$S77-0.5)</f>
        <v>0</v>
      </c>
      <c r="Z77" s="71">
        <f>U77/(1+aftCOC)^IF(Assumptions!$C$26="End",$S77,$S77-0.5)</f>
        <v>0</v>
      </c>
      <c r="AA77" s="67"/>
      <c r="AB77" s="67"/>
      <c r="AC77" s="67"/>
      <c r="AD77" s="73">
        <f>IF(Assumptions!$T$33=TRUE,IF(Assumptions!$T$35=1,(((AD76+Assumptions!$C$40)*(1+$W$11)-Assumptions!$C$40)),T77),"")</f>
        <v>0</v>
      </c>
      <c r="AE77" s="73">
        <f>IF(Assumptions!$T$33=TRUE,IF(Assumptions!$T$35=1,(((AE76+(Assumptions!$C$40*aftCOC*(MIN((S77-5),1/aftCOC))))*(1+$W$11))-(Assumptions!$C$40*aftCOC*(MIN((S77-5),1/aftCOC)))),U77),"")</f>
        <v>0</v>
      </c>
    </row>
    <row r="78" spans="2:31" ht="12.75">
      <c r="B78" s="150"/>
      <c r="C78" s="151"/>
      <c r="D78" s="151"/>
      <c r="E78" s="151"/>
      <c r="F78" s="151"/>
      <c r="G78" s="151"/>
      <c r="H78" s="151"/>
      <c r="I78" s="151"/>
      <c r="J78" s="151"/>
      <c r="K78" s="151"/>
      <c r="L78" s="151"/>
      <c r="M78" s="151"/>
      <c r="N78" s="151"/>
      <c r="O78" s="178"/>
      <c r="S78" s="63">
        <v>72</v>
      </c>
      <c r="T78" s="64">
        <f>IF(ISERROR($V78),0,MAX(((T77+Assumptions!$C$40)*(1+$V78))-Assumptions!$C$40,0))</f>
        <v>0</v>
      </c>
      <c r="U78" s="64">
        <f>IF(ISERROR($V78),0,MAX(((U77+(Assumptions!$C$40*aftCOC*(MIN((S78-5),1/aftCOC))))*(1+$V78))-(Assumptions!$C$40*aftCOC*(MIN((S78-5),1/aftCOC))),0))</f>
        <v>0</v>
      </c>
      <c r="V78" s="76">
        <f>IF(S78&lt;=Assumptions!$C$37,$W$11-($W$11*(S78-S$11)/(Assumptions!$C$37-5)),-(((S78-Assumptions!$C$37)/(Assumptions!$C$38-Assumptions!$C$37))^5))</f>
        <v>-302.0181162139918</v>
      </c>
      <c r="W78" s="66"/>
      <c r="X78" s="70"/>
      <c r="Y78" s="71">
        <f>T78/(1+aftCOC)^IF(Assumptions!$C$26="End",$S78,$S78-0.5)</f>
        <v>0</v>
      </c>
      <c r="Z78" s="71">
        <f>U78/(1+aftCOC)^IF(Assumptions!$C$26="End",$S78,$S78-0.5)</f>
        <v>0</v>
      </c>
      <c r="AA78" s="67"/>
      <c r="AB78" s="67"/>
      <c r="AC78" s="67"/>
      <c r="AD78" s="73">
        <f>IF(Assumptions!$T$33=TRUE,IF(Assumptions!$T$35=1,(((AD77+Assumptions!$C$40)*(1+$W$11)-Assumptions!$C$40)),T78),"")</f>
        <v>0</v>
      </c>
      <c r="AE78" s="73">
        <f>IF(Assumptions!$T$33=TRUE,IF(Assumptions!$T$35=1,(((AE77+(Assumptions!$C$40*aftCOC*(MIN((S78-5),1/aftCOC))))*(1+$W$11))-(Assumptions!$C$40*aftCOC*(MIN((S78-5),1/aftCOC)))),U78),"")</f>
        <v>0</v>
      </c>
    </row>
    <row r="79" spans="2:31" ht="12.75">
      <c r="B79" s="150"/>
      <c r="C79" s="151"/>
      <c r="D79" s="151"/>
      <c r="E79" s="151"/>
      <c r="F79" s="151"/>
      <c r="G79" s="151"/>
      <c r="H79" s="151"/>
      <c r="I79" s="151"/>
      <c r="J79" s="151"/>
      <c r="K79" s="151"/>
      <c r="L79" s="151"/>
      <c r="M79" s="151"/>
      <c r="N79" s="151"/>
      <c r="O79" s="178"/>
      <c r="S79" s="63">
        <v>73</v>
      </c>
      <c r="T79" s="64">
        <f>IF(ISERROR($V79),0,MAX(((T78+Assumptions!$C$40)*(1+$V79))-Assumptions!$C$40,0))</f>
        <v>0</v>
      </c>
      <c r="U79" s="64">
        <f>IF(ISERROR($V79),0,MAX(((U78+(Assumptions!$C$40*aftCOC*(MIN((S79-5),1/aftCOC))))*(1+$V79))-(Assumptions!$C$40*aftCOC*(MIN((S79-5),1/aftCOC))),0))</f>
        <v>0</v>
      </c>
      <c r="V79" s="76">
        <f>IF(S79&lt;=Assumptions!$C$37,$W$11-($W$11*(S79-S$11)/(Assumptions!$C$37-5)),-(((S79-Assumptions!$C$37)/(Assumptions!$C$38-Assumptions!$C$37))^5))</f>
        <v>-335.5443200000002</v>
      </c>
      <c r="W79" s="66"/>
      <c r="X79" s="70"/>
      <c r="Y79" s="71">
        <f>T79/(1+aftCOC)^IF(Assumptions!$C$26="End",$S79,$S79-0.5)</f>
        <v>0</v>
      </c>
      <c r="Z79" s="71">
        <f>U79/(1+aftCOC)^IF(Assumptions!$C$26="End",$S79,$S79-0.5)</f>
        <v>0</v>
      </c>
      <c r="AA79" s="67"/>
      <c r="AB79" s="67"/>
      <c r="AC79" s="67"/>
      <c r="AD79" s="73">
        <f>IF(Assumptions!$T$33=TRUE,IF(Assumptions!$T$35=1,(((AD78+Assumptions!$C$40)*(1+$W$11)-Assumptions!$C$40)),T79),"")</f>
        <v>0</v>
      </c>
      <c r="AE79" s="73">
        <f>IF(Assumptions!$T$33=TRUE,IF(Assumptions!$T$35=1,(((AE78+(Assumptions!$C$40*aftCOC*(MIN((S79-5),1/aftCOC))))*(1+$W$11))-(Assumptions!$C$40*aftCOC*(MIN((S79-5),1/aftCOC)))),U79),"")</f>
        <v>0</v>
      </c>
    </row>
    <row r="80" spans="2:31" ht="12.75">
      <c r="B80" s="150"/>
      <c r="C80" s="151"/>
      <c r="D80" s="151"/>
      <c r="E80" s="151"/>
      <c r="F80" s="151"/>
      <c r="G80" s="151"/>
      <c r="H80" s="151"/>
      <c r="I80" s="151"/>
      <c r="J80" s="151"/>
      <c r="K80" s="151"/>
      <c r="L80" s="151"/>
      <c r="M80" s="151"/>
      <c r="N80" s="151"/>
      <c r="O80" s="178"/>
      <c r="S80" s="63">
        <v>74</v>
      </c>
      <c r="T80" s="64">
        <f>IF(ISERROR($V80),0,MAX(((T79+Assumptions!$C$40)*(1+$V80))-Assumptions!$C$40,0))</f>
        <v>0</v>
      </c>
      <c r="U80" s="64">
        <f>IF(ISERROR($V80),0,MAX(((U79+(Assumptions!$C$40*aftCOC*(MIN((S80-5),1/aftCOC))))*(1+$V80))-(Assumptions!$C$40*aftCOC*(MIN((S80-5),1/aftCOC))),0))</f>
        <v>0</v>
      </c>
      <c r="V80" s="76">
        <f>IF(S80&lt;=Assumptions!$C$37,$W$11-($W$11*(S80-S$11)/(Assumptions!$C$37-5)),-(((S80-Assumptions!$C$37)/(Assumptions!$C$38-Assumptions!$C$37))^5))</f>
        <v>-371.9838669958848</v>
      </c>
      <c r="W80" s="66"/>
      <c r="X80" s="70"/>
      <c r="Y80" s="71">
        <f>T80/(1+aftCOC)^IF(Assumptions!$C$26="End",$S80,$S80-0.5)</f>
        <v>0</v>
      </c>
      <c r="Z80" s="71">
        <f>U80/(1+aftCOC)^IF(Assumptions!$C$26="End",$S80,$S80-0.5)</f>
        <v>0</v>
      </c>
      <c r="AA80" s="67"/>
      <c r="AB80" s="67"/>
      <c r="AC80" s="67"/>
      <c r="AD80" s="73">
        <f>IF(Assumptions!$T$33=TRUE,IF(Assumptions!$T$35=1,(((AD79+Assumptions!$C$40)*(1+$W$11)-Assumptions!$C$40)),T80),"")</f>
        <v>0</v>
      </c>
      <c r="AE80" s="73">
        <f>IF(Assumptions!$T$33=TRUE,IF(Assumptions!$T$35=1,(((AE79+(Assumptions!$C$40*aftCOC*(MIN((S80-5),1/aftCOC))))*(1+$W$11))-(Assumptions!$C$40*aftCOC*(MIN((S80-5),1/aftCOC)))),U80),"")</f>
        <v>0</v>
      </c>
    </row>
    <row r="81" spans="2:31" ht="12.75">
      <c r="B81" s="150"/>
      <c r="C81" s="151"/>
      <c r="D81" s="151"/>
      <c r="E81" s="151"/>
      <c r="F81" s="151"/>
      <c r="G81" s="151"/>
      <c r="H81" s="151"/>
      <c r="I81" s="151"/>
      <c r="J81" s="151"/>
      <c r="K81" s="151"/>
      <c r="L81" s="151"/>
      <c r="M81" s="151"/>
      <c r="N81" s="151"/>
      <c r="O81" s="178"/>
      <c r="S81" s="63">
        <v>75</v>
      </c>
      <c r="T81" s="64">
        <f>IF(ISERROR($V81),0,MAX(((T80+Assumptions!$C$40)*(1+$V81))-Assumptions!$C$40,0))</f>
        <v>0</v>
      </c>
      <c r="U81" s="64">
        <f>IF(ISERROR($V81),0,MAX(((U80+(Assumptions!$C$40*aftCOC*(MIN((S81-5),1/aftCOC))))*(1+$V81))-(Assumptions!$C$40*aftCOC*(MIN((S81-5),1/aftCOC))),0))</f>
        <v>0</v>
      </c>
      <c r="V81" s="76">
        <f>IF(S81&lt;=Assumptions!$C$37,$W$11-($W$11*(S81-S$11)/(Assumptions!$C$37-5)),-(((S81-Assumptions!$C$37)/(Assumptions!$C$38-Assumptions!$C$37))^5))</f>
        <v>-411.5226337448561</v>
      </c>
      <c r="W81" s="66"/>
      <c r="X81" s="70"/>
      <c r="Y81" s="71">
        <f>T81/(1+aftCOC)^IF(Assumptions!$C$26="End",$S81,$S81-0.5)</f>
        <v>0</v>
      </c>
      <c r="Z81" s="71">
        <f>U81/(1+aftCOC)^IF(Assumptions!$C$26="End",$S81,$S81-0.5)</f>
        <v>0</v>
      </c>
      <c r="AA81" s="67"/>
      <c r="AB81" s="67"/>
      <c r="AC81" s="67"/>
      <c r="AD81" s="73">
        <f>IF(Assumptions!$T$33=TRUE,IF(Assumptions!$T$35=1,(((AD80+Assumptions!$C$40)*(1+$W$11)-Assumptions!$C$40)),T81),"")</f>
        <v>0</v>
      </c>
      <c r="AE81" s="73">
        <f>IF(Assumptions!$T$33=TRUE,IF(Assumptions!$T$35=1,(((AE80+(Assumptions!$C$40*aftCOC*(MIN((S81-5),1/aftCOC))))*(1+$W$11))-(Assumptions!$C$40*aftCOC*(MIN((S81-5),1/aftCOC)))),U81),"")</f>
        <v>0</v>
      </c>
    </row>
    <row r="82" spans="2:31" ht="12.75">
      <c r="B82" s="150"/>
      <c r="C82" s="151"/>
      <c r="D82" s="151"/>
      <c r="E82" s="151"/>
      <c r="F82" s="151"/>
      <c r="G82" s="151"/>
      <c r="H82" s="151"/>
      <c r="I82" s="151"/>
      <c r="J82" s="151"/>
      <c r="K82" s="151"/>
      <c r="L82" s="151"/>
      <c r="M82" s="151"/>
      <c r="N82" s="151"/>
      <c r="O82" s="178"/>
      <c r="S82" s="63">
        <v>76</v>
      </c>
      <c r="T82" s="64">
        <f>IF(ISERROR($V82),0,MAX(((T81+Assumptions!$C$40)*(1+$V82))-Assumptions!$C$40,0))</f>
        <v>0</v>
      </c>
      <c r="U82" s="64">
        <f>IF(ISERROR($V82),0,MAX(((U81+(Assumptions!$C$40*aftCOC*(MIN((S82-5),1/aftCOC))))*(1+$V82))-(Assumptions!$C$40*aftCOC*(MIN((S82-5),1/aftCOC))),0))</f>
        <v>0</v>
      </c>
      <c r="V82" s="76">
        <f>IF(S82&lt;=Assumptions!$C$37,$W$11-($W$11*(S82-S$11)/(Assumptions!$C$37-5)),-(((S82-Assumptions!$C$37)/(Assumptions!$C$38-Assumptions!$C$37))^5))</f>
        <v>-454.3542399999999</v>
      </c>
      <c r="W82" s="66"/>
      <c r="X82" s="70"/>
      <c r="Y82" s="71">
        <f>T82/(1+aftCOC)^IF(Assumptions!$C$26="End",$S82,$S82-0.5)</f>
        <v>0</v>
      </c>
      <c r="Z82" s="71">
        <f>U82/(1+aftCOC)^IF(Assumptions!$C$26="End",$S82,$S82-0.5)</f>
        <v>0</v>
      </c>
      <c r="AA82" s="67"/>
      <c r="AB82" s="67"/>
      <c r="AC82" s="67"/>
      <c r="AD82" s="73">
        <f>IF(Assumptions!$T$33=TRUE,IF(Assumptions!$T$35=1,(((AD81+Assumptions!$C$40)*(1+$W$11)-Assumptions!$C$40)),T82),"")</f>
        <v>0</v>
      </c>
      <c r="AE82" s="73">
        <f>IF(Assumptions!$T$33=TRUE,IF(Assumptions!$T$35=1,(((AE81+(Assumptions!$C$40*aftCOC*(MIN((S82-5),1/aftCOC))))*(1+$W$11))-(Assumptions!$C$40*aftCOC*(MIN((S82-5),1/aftCOC)))),U82),"")</f>
        <v>0</v>
      </c>
    </row>
    <row r="83" spans="2:31" ht="12.75">
      <c r="B83" s="150"/>
      <c r="C83" s="151"/>
      <c r="D83" s="151"/>
      <c r="E83" s="151"/>
      <c r="F83" s="151"/>
      <c r="G83" s="151"/>
      <c r="H83" s="151"/>
      <c r="I83" s="151"/>
      <c r="J83" s="151"/>
      <c r="K83" s="151"/>
      <c r="L83" s="151"/>
      <c r="M83" s="151"/>
      <c r="N83" s="151"/>
      <c r="O83" s="178"/>
      <c r="S83" s="63">
        <v>77</v>
      </c>
      <c r="T83" s="64">
        <f>IF(ISERROR($V83),0,MAX(((T82+Assumptions!$C$40)*(1+$V83))-Assumptions!$C$40,0))</f>
        <v>0</v>
      </c>
      <c r="U83" s="64">
        <f>IF(ISERROR($V83),0,MAX(((U82+(Assumptions!$C$40*aftCOC*(MIN((S83-5),1/aftCOC))))*(1+$V83))-(Assumptions!$C$40*aftCOC*(MIN((S83-5),1/aftCOC))),0))</f>
        <v>0</v>
      </c>
      <c r="V83" s="76">
        <f>IF(S83&lt;=Assumptions!$C$37,$W$11-($W$11*(S83-S$11)/(Assumptions!$C$37-5)),-(((S83-Assumptions!$C$37)/(Assumptions!$C$38-Assumptions!$C$37))^5))</f>
        <v>-500.6802067489713</v>
      </c>
      <c r="W83" s="66"/>
      <c r="X83" s="70"/>
      <c r="Y83" s="71">
        <f>T83/(1+aftCOC)^IF(Assumptions!$C$26="End",$S83,$S83-0.5)</f>
        <v>0</v>
      </c>
      <c r="Z83" s="71">
        <f>U83/(1+aftCOC)^IF(Assumptions!$C$26="End",$S83,$S83-0.5)</f>
        <v>0</v>
      </c>
      <c r="AA83" s="67"/>
      <c r="AB83" s="67"/>
      <c r="AC83" s="67"/>
      <c r="AD83" s="73">
        <f>IF(Assumptions!$T$33=TRUE,IF(Assumptions!$T$35=1,(((AD82+Assumptions!$C$40)*(1+$W$11)-Assumptions!$C$40)),T83),"")</f>
        <v>0</v>
      </c>
      <c r="AE83" s="73">
        <f>IF(Assumptions!$T$33=TRUE,IF(Assumptions!$T$35=1,(((AE82+(Assumptions!$C$40*aftCOC*(MIN((S83-5),1/aftCOC))))*(1+$W$11))-(Assumptions!$C$40*aftCOC*(MIN((S83-5),1/aftCOC)))),U83),"")</f>
        <v>0</v>
      </c>
    </row>
    <row r="84" spans="2:31" ht="12.75">
      <c r="B84" s="150"/>
      <c r="C84" s="151"/>
      <c r="D84" s="151"/>
      <c r="E84" s="151"/>
      <c r="F84" s="151"/>
      <c r="G84" s="151"/>
      <c r="H84" s="151"/>
      <c r="I84" s="151"/>
      <c r="J84" s="151"/>
      <c r="K84" s="151"/>
      <c r="L84" s="151"/>
      <c r="M84" s="151"/>
      <c r="N84" s="151"/>
      <c r="O84" s="178"/>
      <c r="S84" s="63">
        <v>78</v>
      </c>
      <c r="T84" s="64">
        <f>IF(ISERROR($V84),0,MAX(((T83+Assumptions!$C$40)*(1+$V84))-Assumptions!$C$40,0))</f>
        <v>0</v>
      </c>
      <c r="U84" s="64">
        <f>IF(ISERROR($V84),0,MAX(((U83+(Assumptions!$C$40*aftCOC*(MIN((S84-5),1/aftCOC))))*(1+$V84))-(Assumptions!$C$40*aftCOC*(MIN((S84-5),1/aftCOC))),0))</f>
        <v>0</v>
      </c>
      <c r="V84" s="76">
        <f>IF(S84&lt;=Assumptions!$C$37,$W$11-($W$11*(S84-S$11)/(Assumptions!$C$37-5)),-(((S84-Assumptions!$C$37)/(Assumptions!$C$38-Assumptions!$C$37))^5))</f>
        <v>-550.7101142386831</v>
      </c>
      <c r="W84" s="66"/>
      <c r="X84" s="70"/>
      <c r="Y84" s="71">
        <f>T84/(1+aftCOC)^IF(Assumptions!$C$26="End",$S84,$S84-0.5)</f>
        <v>0</v>
      </c>
      <c r="Z84" s="71">
        <f>U84/(1+aftCOC)^IF(Assumptions!$C$26="End",$S84,$S84-0.5)</f>
        <v>0</v>
      </c>
      <c r="AA84" s="67"/>
      <c r="AB84" s="67"/>
      <c r="AC84" s="67"/>
      <c r="AD84" s="73">
        <f>IF(Assumptions!$T$33=TRUE,IF(Assumptions!$T$35=1,(((AD83+Assumptions!$C$40)*(1+$W$11)-Assumptions!$C$40)),T84),"")</f>
        <v>0</v>
      </c>
      <c r="AE84" s="73">
        <f>IF(Assumptions!$T$33=TRUE,IF(Assumptions!$T$35=1,(((AE83+(Assumptions!$C$40*aftCOC*(MIN((S84-5),1/aftCOC))))*(1+$W$11))-(Assumptions!$C$40*aftCOC*(MIN((S84-5),1/aftCOC)))),U84),"")</f>
        <v>0</v>
      </c>
    </row>
    <row r="85" spans="2:31" ht="12.75">
      <c r="B85" s="150"/>
      <c r="C85" s="151"/>
      <c r="D85" s="151"/>
      <c r="E85" s="151"/>
      <c r="F85" s="151"/>
      <c r="G85" s="151"/>
      <c r="H85" s="151"/>
      <c r="I85" s="151"/>
      <c r="J85" s="151"/>
      <c r="K85" s="151"/>
      <c r="L85" s="151"/>
      <c r="M85" s="151"/>
      <c r="N85" s="151"/>
      <c r="O85" s="178"/>
      <c r="S85" s="63">
        <v>79</v>
      </c>
      <c r="T85" s="64">
        <f>IF(ISERROR($V85),0,MAX(((T84+Assumptions!$C$40)*(1+$V85))-Assumptions!$C$40,0))</f>
        <v>0</v>
      </c>
      <c r="U85" s="64">
        <f>IF(ISERROR($V85),0,MAX(((U84+(Assumptions!$C$40*aftCOC*(MIN((S85-5),1/aftCOC))))*(1+$V85))-(Assumptions!$C$40*aftCOC*(MIN((S85-5),1/aftCOC))),0))</f>
        <v>0</v>
      </c>
      <c r="V85" s="76">
        <f>IF(S85&lt;=Assumptions!$C$37,$W$11-($W$11*(S85-S$11)/(Assumptions!$C$37-5)),-(((S85-Assumptions!$C$37)/(Assumptions!$C$38-Assumptions!$C$37))^5))</f>
        <v>-604.6617600000002</v>
      </c>
      <c r="W85" s="66"/>
      <c r="X85" s="70"/>
      <c r="Y85" s="71">
        <f>T85/(1+aftCOC)^IF(Assumptions!$C$26="End",$S85,$S85-0.5)</f>
        <v>0</v>
      </c>
      <c r="Z85" s="71">
        <f>U85/(1+aftCOC)^IF(Assumptions!$C$26="End",$S85,$S85-0.5)</f>
        <v>0</v>
      </c>
      <c r="AA85" s="67"/>
      <c r="AB85" s="67"/>
      <c r="AC85" s="67"/>
      <c r="AD85" s="73">
        <f>IF(Assumptions!$T$33=TRUE,IF(Assumptions!$T$35=1,(((AD84+Assumptions!$C$40)*(1+$W$11)-Assumptions!$C$40)),T85),"")</f>
        <v>0</v>
      </c>
      <c r="AE85" s="73">
        <f>IF(Assumptions!$T$33=TRUE,IF(Assumptions!$T$35=1,(((AE84+(Assumptions!$C$40*aftCOC*(MIN((S85-5),1/aftCOC))))*(1+$W$11))-(Assumptions!$C$40*aftCOC*(MIN((S85-5),1/aftCOC)))),U85),"")</f>
        <v>0</v>
      </c>
    </row>
    <row r="86" spans="2:31" ht="12.75">
      <c r="B86" s="150"/>
      <c r="C86" s="151"/>
      <c r="D86" s="151"/>
      <c r="E86" s="151"/>
      <c r="F86" s="151"/>
      <c r="G86" s="151"/>
      <c r="H86" s="151"/>
      <c r="I86" s="151"/>
      <c r="J86" s="151"/>
      <c r="K86" s="151"/>
      <c r="L86" s="151"/>
      <c r="M86" s="151"/>
      <c r="N86" s="151"/>
      <c r="O86" s="178"/>
      <c r="S86" s="63">
        <v>80</v>
      </c>
      <c r="T86" s="64">
        <f>IF(ISERROR($V86),0,MAX(((T85+Assumptions!$C$40)*(1+$V86))-Assumptions!$C$40,0))</f>
        <v>0</v>
      </c>
      <c r="U86" s="64">
        <f>IF(ISERROR($V86),0,MAX(((U85+(Assumptions!$C$40*aftCOC*(MIN((S86-5),1/aftCOC))))*(1+$V86))-(Assumptions!$C$40*aftCOC*(MIN((S86-5),1/aftCOC))),0))</f>
        <v>0</v>
      </c>
      <c r="V86" s="76">
        <f>IF(S86&lt;=Assumptions!$C$37,$W$11-($W$11*(S86-S$11)/(Assumptions!$C$37-5)),-(((S86-Assumptions!$C$37)/(Assumptions!$C$38-Assumptions!$C$37))^5))</f>
        <v>-662.7613168724278</v>
      </c>
      <c r="W86" s="66"/>
      <c r="X86" s="70"/>
      <c r="Y86" s="71">
        <f>T86/(1+aftCOC)^IF(Assumptions!$C$26="End",$S86,$S86-0.5)</f>
        <v>0</v>
      </c>
      <c r="Z86" s="71">
        <f>U86/(1+aftCOC)^IF(Assumptions!$C$26="End",$S86,$S86-0.5)</f>
        <v>0</v>
      </c>
      <c r="AA86" s="67"/>
      <c r="AB86" s="67"/>
      <c r="AC86" s="67"/>
      <c r="AD86" s="73">
        <f>IF(Assumptions!$T$33=TRUE,IF(Assumptions!$T$35=1,(((AD85+Assumptions!$C$40)*(1+$W$11)-Assumptions!$C$40)),T86),"")</f>
        <v>0</v>
      </c>
      <c r="AE86" s="73">
        <f>IF(Assumptions!$T$33=TRUE,IF(Assumptions!$T$35=1,(((AE85+(Assumptions!$C$40*aftCOC*(MIN((S86-5),1/aftCOC))))*(1+$W$11))-(Assumptions!$C$40*aftCOC*(MIN((S86-5),1/aftCOC)))),U86),"")</f>
        <v>0</v>
      </c>
    </row>
    <row r="87" spans="2:31" ht="12.75">
      <c r="B87" s="150"/>
      <c r="C87" s="151"/>
      <c r="D87" s="151"/>
      <c r="E87" s="151"/>
      <c r="F87" s="151"/>
      <c r="G87" s="151"/>
      <c r="H87" s="151"/>
      <c r="I87" s="151"/>
      <c r="J87" s="151"/>
      <c r="K87" s="151"/>
      <c r="L87" s="151"/>
      <c r="M87" s="151"/>
      <c r="N87" s="151"/>
      <c r="O87" s="178"/>
      <c r="S87" s="63">
        <v>81</v>
      </c>
      <c r="T87" s="64">
        <f>IF(ISERROR($V87),0,MAX(((T86+Assumptions!$C$40)*(1+$V87))-Assumptions!$C$40,0))</f>
        <v>0</v>
      </c>
      <c r="U87" s="64">
        <f>IF(ISERROR($V87),0,MAX(((U86+(Assumptions!$C$40*aftCOC*(MIN((S87-5),1/aftCOC))))*(1+$V87))-(Assumptions!$C$40*aftCOC*(MIN((S87-5),1/aftCOC))),0))</f>
        <v>0</v>
      </c>
      <c r="V87" s="76">
        <f>IF(S87&lt;=Assumptions!$C$37,$W$11-($W$11*(S87-S$11)/(Assumptions!$C$37-5)),-(((S87-Assumptions!$C$37)/(Assumptions!$C$38-Assumptions!$C$37))^5))</f>
        <v>-725.2434910288067</v>
      </c>
      <c r="W87" s="66"/>
      <c r="X87" s="70"/>
      <c r="Y87" s="71">
        <f>T87/(1+aftCOC)^IF(Assumptions!$C$26="End",$S87,$S87-0.5)</f>
        <v>0</v>
      </c>
      <c r="Z87" s="71">
        <f>U87/(1+aftCOC)^IF(Assumptions!$C$26="End",$S87,$S87-0.5)</f>
        <v>0</v>
      </c>
      <c r="AA87" s="67"/>
      <c r="AB87" s="67"/>
      <c r="AC87" s="67"/>
      <c r="AD87" s="73">
        <f>IF(Assumptions!$T$33=TRUE,IF(Assumptions!$T$35=1,(((AD86+Assumptions!$C$40)*(1+$W$11)-Assumptions!$C$40)),T87),"")</f>
        <v>0</v>
      </c>
      <c r="AE87" s="73">
        <f>IF(Assumptions!$T$33=TRUE,IF(Assumptions!$T$35=1,(((AE86+(Assumptions!$C$40*aftCOC*(MIN((S87-5),1/aftCOC))))*(1+$W$11))-(Assumptions!$C$40*aftCOC*(MIN((S87-5),1/aftCOC)))),U87),"")</f>
        <v>0</v>
      </c>
    </row>
    <row r="88" spans="2:31" ht="12.75">
      <c r="B88" s="150"/>
      <c r="C88" s="151"/>
      <c r="D88" s="151"/>
      <c r="E88" s="151"/>
      <c r="F88" s="151"/>
      <c r="G88" s="151"/>
      <c r="H88" s="151"/>
      <c r="I88" s="151"/>
      <c r="J88" s="151"/>
      <c r="K88" s="151"/>
      <c r="L88" s="151"/>
      <c r="M88" s="151"/>
      <c r="N88" s="151"/>
      <c r="O88" s="178"/>
      <c r="S88" s="63">
        <v>82</v>
      </c>
      <c r="T88" s="64">
        <f>IF(ISERROR($V88),0,MAX(((T87+Assumptions!$C$40)*(1+$V88))-Assumptions!$C$40,0))</f>
        <v>0</v>
      </c>
      <c r="U88" s="64">
        <f>IF(ISERROR($V88),0,MAX(((U87+(Assumptions!$C$40*aftCOC*(MIN((S88-5),1/aftCOC))))*(1+$V88))-(Assumptions!$C$40*aftCOC*(MIN((S88-5),1/aftCOC))),0))</f>
        <v>0</v>
      </c>
      <c r="V88" s="76">
        <f>IF(S88&lt;=Assumptions!$C$37,$W$11-($W$11*(S88-S$11)/(Assumptions!$C$37-5)),-(((S88-Assumptions!$C$37)/(Assumptions!$C$38-Assumptions!$C$37))^5))</f>
        <v>-792.35168</v>
      </c>
      <c r="W88" s="66"/>
      <c r="X88" s="70"/>
      <c r="Y88" s="71">
        <f>T88/(1+aftCOC)^IF(Assumptions!$C$26="End",$S88,$S88-0.5)</f>
        <v>0</v>
      </c>
      <c r="Z88" s="71">
        <f>U88/(1+aftCOC)^IF(Assumptions!$C$26="End",$S88,$S88-0.5)</f>
        <v>0</v>
      </c>
      <c r="AA88" s="67"/>
      <c r="AB88" s="67"/>
      <c r="AC88" s="67"/>
      <c r="AD88" s="73">
        <f>IF(Assumptions!$T$33=TRUE,IF(Assumptions!$T$35=1,(((AD87+Assumptions!$C$40)*(1+$W$11)-Assumptions!$C$40)),T88),"")</f>
        <v>0</v>
      </c>
      <c r="AE88" s="73">
        <f>IF(Assumptions!$T$33=TRUE,IF(Assumptions!$T$35=1,(((AE87+(Assumptions!$C$40*aftCOC*(MIN((S88-5),1/aftCOC))))*(1+$W$11))-(Assumptions!$C$40*aftCOC*(MIN((S88-5),1/aftCOC)))),U88),"")</f>
        <v>0</v>
      </c>
    </row>
    <row r="89" spans="2:31" ht="12.75">
      <c r="B89" s="150"/>
      <c r="C89" s="151"/>
      <c r="D89" s="151"/>
      <c r="E89" s="151"/>
      <c r="F89" s="151"/>
      <c r="G89" s="151"/>
      <c r="H89" s="151"/>
      <c r="I89" s="151"/>
      <c r="J89" s="151"/>
      <c r="K89" s="151"/>
      <c r="L89" s="151"/>
      <c r="M89" s="151"/>
      <c r="N89" s="151"/>
      <c r="O89" s="178"/>
      <c r="S89" s="63">
        <v>83</v>
      </c>
      <c r="T89" s="64">
        <f>IF(ISERROR($V89),0,MAX(((T88+Assumptions!$C$40)*(1+$V89))-Assumptions!$C$40,0))</f>
        <v>0</v>
      </c>
      <c r="U89" s="64">
        <f>IF(ISERROR($V89),0,MAX(((U88+(Assumptions!$C$40*aftCOC*(MIN((S89-5),1/aftCOC))))*(1+$V89))-(Assumptions!$C$40*aftCOC*(MIN((S89-5),1/aftCOC))),0))</f>
        <v>0</v>
      </c>
      <c r="V89" s="76">
        <f>IF(S89&lt;=Assumptions!$C$37,$W$11-($W$11*(S89-S$11)/(Assumptions!$C$37-5)),-(((S89-Assumptions!$C$37)/(Assumptions!$C$38-Assumptions!$C$37))^5))</f>
        <v>-864.3381306995884</v>
      </c>
      <c r="W89" s="66"/>
      <c r="X89" s="70"/>
      <c r="Y89" s="71">
        <f>T89/(1+aftCOC)^IF(Assumptions!$C$26="End",$S89,$S89-0.5)</f>
        <v>0</v>
      </c>
      <c r="Z89" s="71">
        <f>U89/(1+aftCOC)^IF(Assumptions!$C$26="End",$S89,$S89-0.5)</f>
        <v>0</v>
      </c>
      <c r="AA89" s="67"/>
      <c r="AB89" s="67"/>
      <c r="AC89" s="67"/>
      <c r="AD89" s="73">
        <f>IF(Assumptions!$T$33=TRUE,IF(Assumptions!$T$35=1,(((AD88+Assumptions!$C$40)*(1+$W$11)-Assumptions!$C$40)),T89),"")</f>
        <v>0</v>
      </c>
      <c r="AE89" s="73">
        <f>IF(Assumptions!$T$33=TRUE,IF(Assumptions!$T$35=1,(((AE88+(Assumptions!$C$40*aftCOC*(MIN((S89-5),1/aftCOC))))*(1+$W$11))-(Assumptions!$C$40*aftCOC*(MIN((S89-5),1/aftCOC)))),U89),"")</f>
        <v>0</v>
      </c>
    </row>
    <row r="90" spans="2:31" ht="12.75">
      <c r="B90" s="150"/>
      <c r="C90" s="151"/>
      <c r="D90" s="151"/>
      <c r="E90" s="151"/>
      <c r="F90" s="151"/>
      <c r="G90" s="151"/>
      <c r="H90" s="151"/>
      <c r="I90" s="151"/>
      <c r="J90" s="151"/>
      <c r="K90" s="151"/>
      <c r="L90" s="151"/>
      <c r="M90" s="151"/>
      <c r="N90" s="151"/>
      <c r="O90" s="178"/>
      <c r="S90" s="63">
        <v>84</v>
      </c>
      <c r="T90" s="64">
        <f>IF(ISERROR($V90),0,MAX(((T89+Assumptions!$C$40)*(1+$V90))-Assumptions!$C$40,0))</f>
        <v>0</v>
      </c>
      <c r="U90" s="64">
        <f>IF(ISERROR($V90),0,MAX(((U89+(Assumptions!$C$40*aftCOC*(MIN((S90-5),1/aftCOC))))*(1+$V90))-(Assumptions!$C$40*aftCOC*(MIN((S90-5),1/aftCOC))),0))</f>
        <v>0</v>
      </c>
      <c r="V90" s="76">
        <f>IF(S90&lt;=Assumptions!$C$37,$W$11-($W$11*(S90-S$11)/(Assumptions!$C$37-5)),-(((S90-Assumptions!$C$37)/(Assumptions!$C$38-Assumptions!$C$37))^5))</f>
        <v>-941.4640974485595</v>
      </c>
      <c r="W90" s="66"/>
      <c r="X90" s="70"/>
      <c r="Y90" s="71">
        <f>T90/(1+aftCOC)^IF(Assumptions!$C$26="End",$S90,$S90-0.5)</f>
        <v>0</v>
      </c>
      <c r="Z90" s="71">
        <f>U90/(1+aftCOC)^IF(Assumptions!$C$26="End",$S90,$S90-0.5)</f>
        <v>0</v>
      </c>
      <c r="AA90" s="67"/>
      <c r="AB90" s="67"/>
      <c r="AC90" s="67"/>
      <c r="AD90" s="73">
        <f>IF(Assumptions!$T$33=TRUE,IF(Assumptions!$T$35=1,(((AD89+Assumptions!$C$40)*(1+$W$11)-Assumptions!$C$40)),T90),"")</f>
        <v>0</v>
      </c>
      <c r="AE90" s="73">
        <f>IF(Assumptions!$T$33=TRUE,IF(Assumptions!$T$35=1,(((AE89+(Assumptions!$C$40*aftCOC*(MIN((S90-5),1/aftCOC))))*(1+$W$11))-(Assumptions!$C$40*aftCOC*(MIN((S90-5),1/aftCOC)))),U90),"")</f>
        <v>0</v>
      </c>
    </row>
    <row r="91" spans="2:31" ht="12.75">
      <c r="B91" s="150"/>
      <c r="C91" s="151"/>
      <c r="D91" s="151"/>
      <c r="E91" s="151"/>
      <c r="F91" s="151"/>
      <c r="G91" s="151"/>
      <c r="H91" s="151"/>
      <c r="I91" s="151"/>
      <c r="J91" s="151"/>
      <c r="K91" s="151"/>
      <c r="L91" s="151"/>
      <c r="M91" s="151"/>
      <c r="N91" s="151"/>
      <c r="O91" s="178"/>
      <c r="S91" s="63">
        <v>85</v>
      </c>
      <c r="T91" s="64">
        <f>IF(ISERROR($V91),0,MAX(((T90+Assumptions!$C$40)*(1+$V91))-Assumptions!$C$40,0))</f>
        <v>0</v>
      </c>
      <c r="U91" s="64">
        <f>IF(ISERROR($V91),0,MAX(((U90+(Assumptions!$C$40*aftCOC*(MIN((S91-5),1/aftCOC))))*(1+$V91))-(Assumptions!$C$40*aftCOC*(MIN((S91-5),1/aftCOC))),0))</f>
        <v>0</v>
      </c>
      <c r="V91" s="76">
        <f>IF(S91&lt;=Assumptions!$C$37,$W$11-($W$11*(S91-S$11)/(Assumptions!$C$37-5)),-(((S91-Assumptions!$C$37)/(Assumptions!$C$38-Assumptions!$C$37))^5))</f>
        <v>-1024</v>
      </c>
      <c r="W91" s="66"/>
      <c r="X91" s="70"/>
      <c r="Y91" s="71">
        <f>T91/(1+aftCOC)^IF(Assumptions!$C$26="End",$S91,$S91-0.5)</f>
        <v>0</v>
      </c>
      <c r="Z91" s="71">
        <f>U91/(1+aftCOC)^IF(Assumptions!$C$26="End",$S91,$S91-0.5)</f>
        <v>0</v>
      </c>
      <c r="AA91" s="67"/>
      <c r="AB91" s="67"/>
      <c r="AC91" s="67"/>
      <c r="AD91" s="73">
        <f>IF(Assumptions!$T$33=TRUE,IF(Assumptions!$T$35=1,(((AD90+Assumptions!$C$40)*(1+$W$11)-Assumptions!$C$40)),T91),"")</f>
        <v>0</v>
      </c>
      <c r="AE91" s="73">
        <f>IF(Assumptions!$T$33=TRUE,IF(Assumptions!$T$35=1,(((AE90+(Assumptions!$C$40*aftCOC*(MIN((S91-5),1/aftCOC))))*(1+$W$11))-(Assumptions!$C$40*aftCOC*(MIN((S91-5),1/aftCOC)))),U91),"")</f>
        <v>0</v>
      </c>
    </row>
    <row r="92" spans="2:31" ht="12.75">
      <c r="B92" s="150"/>
      <c r="C92" s="151"/>
      <c r="D92" s="151"/>
      <c r="E92" s="151"/>
      <c r="F92" s="151"/>
      <c r="G92" s="151"/>
      <c r="H92" s="151"/>
      <c r="I92" s="151"/>
      <c r="J92" s="151"/>
      <c r="K92" s="151"/>
      <c r="L92" s="151"/>
      <c r="M92" s="151"/>
      <c r="N92" s="151"/>
      <c r="O92" s="178"/>
      <c r="S92" s="63">
        <v>86</v>
      </c>
      <c r="T92" s="64">
        <f>IF(ISERROR($V92),0,MAX(((T91+Assumptions!$C$40)*(1+$V92))-Assumptions!$C$40,0))</f>
        <v>0</v>
      </c>
      <c r="U92" s="64">
        <f>IF(ISERROR($V92),0,MAX(((U91+(Assumptions!$C$40*aftCOC*(MIN((S92-5),1/aftCOC))))*(1+$V92))-(Assumptions!$C$40*aftCOC*(MIN((S92-5),1/aftCOC))),0))</f>
        <v>0</v>
      </c>
      <c r="V92" s="76">
        <f>IF(S92&lt;=Assumptions!$C$37,$W$11-($W$11*(S92-S$11)/(Assumptions!$C$37-5)),-(((S92-Assumptions!$C$37)/(Assumptions!$C$38-Assumptions!$C$37))^5))</f>
        <v>-1112.225581563786</v>
      </c>
      <c r="W92" s="66"/>
      <c r="X92" s="70"/>
      <c r="Y92" s="71">
        <f>T92/(1+aftCOC)^IF(Assumptions!$C$26="End",$S92,$S92-0.5)</f>
        <v>0</v>
      </c>
      <c r="Z92" s="71">
        <f>U92/(1+aftCOC)^IF(Assumptions!$C$26="End",$S92,$S92-0.5)</f>
        <v>0</v>
      </c>
      <c r="AA92" s="67"/>
      <c r="AB92" s="67"/>
      <c r="AC92" s="67"/>
      <c r="AD92" s="73">
        <f>IF(Assumptions!$T$33=TRUE,IF(Assumptions!$T$35=1,(((AD91+Assumptions!$C$40)*(1+$W$11)-Assumptions!$C$40)),T92),"")</f>
        <v>0</v>
      </c>
      <c r="AE92" s="73">
        <f>IF(Assumptions!$T$33=TRUE,IF(Assumptions!$T$35=1,(((AE91+(Assumptions!$C$40*aftCOC*(MIN((S92-5),1/aftCOC))))*(1+$W$11))-(Assumptions!$C$40*aftCOC*(MIN((S92-5),1/aftCOC)))),U92),"")</f>
        <v>0</v>
      </c>
    </row>
    <row r="93" spans="2:31" ht="12.75">
      <c r="B93" s="150"/>
      <c r="C93" s="151"/>
      <c r="D93" s="151"/>
      <c r="E93" s="151"/>
      <c r="F93" s="151"/>
      <c r="G93" s="151"/>
      <c r="H93" s="151"/>
      <c r="I93" s="151"/>
      <c r="J93" s="151"/>
      <c r="K93" s="151"/>
      <c r="L93" s="151"/>
      <c r="M93" s="151"/>
      <c r="N93" s="151"/>
      <c r="O93" s="178"/>
      <c r="S93" s="63">
        <v>87</v>
      </c>
      <c r="T93" s="64">
        <f>IF(ISERROR($V93),0,MAX(((T92+Assumptions!$C$40)*(1+$V93))-Assumptions!$C$40,0))</f>
        <v>0</v>
      </c>
      <c r="U93" s="64">
        <f>IF(ISERROR($V93),0,MAX(((U92+(Assumptions!$C$40*aftCOC*(MIN((S93-5),1/aftCOC))))*(1+$V93))-(Assumptions!$C$40*aftCOC*(MIN((S93-5),1/aftCOC))),0))</f>
        <v>0</v>
      </c>
      <c r="V93" s="76">
        <f>IF(S93&lt;=Assumptions!$C$37,$W$11-($W$11*(S93-S$11)/(Assumptions!$C$37-5)),-(((S93-Assumptions!$C$37)/(Assumptions!$C$38-Assumptions!$C$37))^5))</f>
        <v>-1206.4300668312762</v>
      </c>
      <c r="W93" s="66"/>
      <c r="X93" s="70"/>
      <c r="Y93" s="71">
        <f>T93/(1+aftCOC)^IF(Assumptions!$C$26="End",$S93,$S93-0.5)</f>
        <v>0</v>
      </c>
      <c r="Z93" s="71">
        <f>U93/(1+aftCOC)^IF(Assumptions!$C$26="End",$S93,$S93-0.5)</f>
        <v>0</v>
      </c>
      <c r="AA93" s="67"/>
      <c r="AB93" s="67"/>
      <c r="AC93" s="67"/>
      <c r="AD93" s="73">
        <f>IF(Assumptions!$T$33=TRUE,IF(Assumptions!$T$35=1,(((AD92+Assumptions!$C$40)*(1+$W$11)-Assumptions!$C$40)),T93),"")</f>
        <v>0</v>
      </c>
      <c r="AE93" s="73">
        <f>IF(Assumptions!$T$33=TRUE,IF(Assumptions!$T$35=1,(((AE92+(Assumptions!$C$40*aftCOC*(MIN((S93-5),1/aftCOC))))*(1+$W$11))-(Assumptions!$C$40*aftCOC*(MIN((S93-5),1/aftCOC)))),U93),"")</f>
        <v>0</v>
      </c>
    </row>
    <row r="94" spans="2:31" ht="12.75">
      <c r="B94" s="150"/>
      <c r="C94" s="151"/>
      <c r="D94" s="151"/>
      <c r="E94" s="151"/>
      <c r="F94" s="151"/>
      <c r="G94" s="151"/>
      <c r="H94" s="151"/>
      <c r="I94" s="151"/>
      <c r="J94" s="151"/>
      <c r="K94" s="151"/>
      <c r="L94" s="151"/>
      <c r="M94" s="151"/>
      <c r="N94" s="151"/>
      <c r="O94" s="178"/>
      <c r="S94" s="63">
        <v>88</v>
      </c>
      <c r="T94" s="64">
        <f>IF(ISERROR($V94),0,MAX(((T93+Assumptions!$C$40)*(1+$V94))-Assumptions!$C$40,0))</f>
        <v>0</v>
      </c>
      <c r="U94" s="64">
        <f>IF(ISERROR($V94),0,MAX(((U93+(Assumptions!$C$40*aftCOC*(MIN((S94-5),1/aftCOC))))*(1+$V94))-(Assumptions!$C$40*aftCOC*(MIN((S94-5),1/aftCOC))),0))</f>
        <v>0</v>
      </c>
      <c r="V94" s="76">
        <f>IF(S94&lt;=Assumptions!$C$37,$W$11-($W$11*(S94-S$11)/(Assumptions!$C$37-5)),-(((S94-Assumptions!$C$37)/(Assumptions!$C$38-Assumptions!$C$37))^5))</f>
        <v>-1306.9123200000001</v>
      </c>
      <c r="W94" s="66"/>
      <c r="X94" s="70"/>
      <c r="Y94" s="71">
        <f>T94/(1+aftCOC)^IF(Assumptions!$C$26="End",$S94,$S94-0.5)</f>
        <v>0</v>
      </c>
      <c r="Z94" s="71">
        <f>U94/(1+aftCOC)^IF(Assumptions!$C$26="End",$S94,$S94-0.5)</f>
        <v>0</v>
      </c>
      <c r="AA94" s="67"/>
      <c r="AB94" s="67"/>
      <c r="AC94" s="67"/>
      <c r="AD94" s="73">
        <f>IF(Assumptions!$T$33=TRUE,IF(Assumptions!$T$35=1,(((AD93+Assumptions!$C$40)*(1+$W$11)-Assumptions!$C$40)),T94),"")</f>
        <v>0</v>
      </c>
      <c r="AE94" s="73">
        <f>IF(Assumptions!$T$33=TRUE,IF(Assumptions!$T$35=1,(((AE93+(Assumptions!$C$40*aftCOC*(MIN((S94-5),1/aftCOC))))*(1+$W$11))-(Assumptions!$C$40*aftCOC*(MIN((S94-5),1/aftCOC)))),U94),"")</f>
        <v>0</v>
      </c>
    </row>
    <row r="95" spans="2:31" ht="12.75">
      <c r="B95" s="150"/>
      <c r="C95" s="151"/>
      <c r="D95" s="151"/>
      <c r="E95" s="151"/>
      <c r="F95" s="151"/>
      <c r="G95" s="151"/>
      <c r="H95" s="151"/>
      <c r="I95" s="151"/>
      <c r="J95" s="151"/>
      <c r="K95" s="151"/>
      <c r="L95" s="151"/>
      <c r="M95" s="151"/>
      <c r="N95" s="151"/>
      <c r="O95" s="178"/>
      <c r="S95" s="63">
        <v>89</v>
      </c>
      <c r="T95" s="64">
        <f>IF(ISERROR($V95),0,MAX(((T94+Assumptions!$C$40)*(1+$V95))-Assumptions!$C$40,0))</f>
        <v>0</v>
      </c>
      <c r="U95" s="64">
        <f>IF(ISERROR($V95),0,MAX(((U94+(Assumptions!$C$40*aftCOC*(MIN((S95-5),1/aftCOC))))*(1+$V95))-(Assumptions!$C$40*aftCOC*(MIN((S95-5),1/aftCOC))),0))</f>
        <v>0</v>
      </c>
      <c r="V95" s="76">
        <f>IF(S95&lt;=Assumptions!$C$37,$W$11-($W$11*(S95-S$11)/(Assumptions!$C$37-5)),-(((S95-Assumptions!$C$37)/(Assumptions!$C$38-Assumptions!$C$37))^5))</f>
        <v>-1413.981002798354</v>
      </c>
      <c r="W95" s="66"/>
      <c r="X95" s="70"/>
      <c r="Y95" s="71">
        <f>T95/(1+aftCOC)^IF(Assumptions!$C$26="End",$S95,$S95-0.5)</f>
        <v>0</v>
      </c>
      <c r="Z95" s="71">
        <f>U95/(1+aftCOC)^IF(Assumptions!$C$26="End",$S95,$S95-0.5)</f>
        <v>0</v>
      </c>
      <c r="AA95" s="67"/>
      <c r="AB95" s="67"/>
      <c r="AC95" s="67"/>
      <c r="AD95" s="73">
        <f>IF(Assumptions!$T$33=TRUE,IF(Assumptions!$T$35=1,(((AD94+Assumptions!$C$40)*(1+$W$11)-Assumptions!$C$40)),T95),"")</f>
        <v>0</v>
      </c>
      <c r="AE95" s="73">
        <f>IF(Assumptions!$T$33=TRUE,IF(Assumptions!$T$35=1,(((AE94+(Assumptions!$C$40*aftCOC*(MIN((S95-5),1/aftCOC))))*(1+$W$11))-(Assumptions!$C$40*aftCOC*(MIN((S95-5),1/aftCOC)))),U95),"")</f>
        <v>0</v>
      </c>
    </row>
    <row r="96" spans="2:31" ht="12.75">
      <c r="B96" s="150"/>
      <c r="C96" s="151"/>
      <c r="D96" s="151"/>
      <c r="E96" s="151"/>
      <c r="F96" s="151"/>
      <c r="G96" s="151"/>
      <c r="H96" s="151"/>
      <c r="I96" s="151"/>
      <c r="J96" s="151"/>
      <c r="K96" s="151"/>
      <c r="L96" s="151"/>
      <c r="M96" s="151"/>
      <c r="N96" s="151"/>
      <c r="O96" s="178"/>
      <c r="S96" s="63">
        <v>90</v>
      </c>
      <c r="T96" s="64">
        <f>IF(ISERROR($V96),0,MAX(((T95+Assumptions!$C$40)*(1+$V96))-Assumptions!$C$40,0))</f>
        <v>0</v>
      </c>
      <c r="U96" s="64">
        <f>IF(ISERROR($V96),0,MAX(((U95+(Assumptions!$C$40*aftCOC*(MIN((S96-5),1/aftCOC))))*(1+$V96))-(Assumptions!$C$40*aftCOC*(MIN((S96-5),1/aftCOC))),0))</f>
        <v>0</v>
      </c>
      <c r="V96" s="76">
        <f>IF(S96&lt;=Assumptions!$C$37,$W$11-($W$11*(S96-S$11)/(Assumptions!$C$37-5)),-(((S96-Assumptions!$C$37)/(Assumptions!$C$38-Assumptions!$C$37))^5))</f>
        <v>-1527.9547325102876</v>
      </c>
      <c r="W96" s="66"/>
      <c r="X96" s="70"/>
      <c r="Y96" s="71">
        <f>T96/(1+aftCOC)^IF(Assumptions!$C$26="End",$S96,$S96-0.5)</f>
        <v>0</v>
      </c>
      <c r="Z96" s="71">
        <f>U96/(1+aftCOC)^IF(Assumptions!$C$26="End",$S96,$S96-0.5)</f>
        <v>0</v>
      </c>
      <c r="AA96" s="67"/>
      <c r="AB96" s="67"/>
      <c r="AC96" s="67"/>
      <c r="AD96" s="73">
        <f>IF(Assumptions!$T$33=TRUE,IF(Assumptions!$T$35=1,(((AD95+Assumptions!$C$40)*(1+$W$11)-Assumptions!$C$40)),T96),"")</f>
        <v>0</v>
      </c>
      <c r="AE96" s="73">
        <f>IF(Assumptions!$T$33=TRUE,IF(Assumptions!$T$35=1,(((AE95+(Assumptions!$C$40*aftCOC*(MIN((S96-5),1/aftCOC))))*(1+$W$11))-(Assumptions!$C$40*aftCOC*(MIN((S96-5),1/aftCOC)))),U96),"")</f>
        <v>0</v>
      </c>
    </row>
    <row r="97" spans="2:31" ht="12.75">
      <c r="B97" s="150"/>
      <c r="C97" s="151"/>
      <c r="D97" s="151"/>
      <c r="E97" s="151"/>
      <c r="F97" s="151"/>
      <c r="G97" s="151"/>
      <c r="H97" s="151"/>
      <c r="I97" s="151"/>
      <c r="J97" s="151"/>
      <c r="K97" s="151"/>
      <c r="L97" s="151"/>
      <c r="M97" s="151"/>
      <c r="N97" s="151"/>
      <c r="O97" s="178"/>
      <c r="S97" s="63">
        <v>91</v>
      </c>
      <c r="T97" s="64">
        <f>IF(ISERROR($V97),0,MAX(((T96+Assumptions!$C$40)*(1+$V97))-Assumptions!$C$40,0))</f>
        <v>0</v>
      </c>
      <c r="U97" s="64">
        <f>IF(ISERROR($V97),0,MAX(((U96+(Assumptions!$C$40*aftCOC*(MIN((S97-5),1/aftCOC))))*(1+$V97))-(Assumptions!$C$40*aftCOC*(MIN((S97-5),1/aftCOC))),0))</f>
        <v>0</v>
      </c>
      <c r="V97" s="76">
        <f>IF(S97&lt;=Assumptions!$C$37,$W$11-($W$11*(S97-S$11)/(Assumptions!$C$37-5)),-(((S97-Assumptions!$C$37)/(Assumptions!$C$38-Assumptions!$C$37))^5))</f>
        <v>-1649.1622400000006</v>
      </c>
      <c r="W97" s="66"/>
      <c r="X97" s="70"/>
      <c r="Y97" s="71">
        <f>T97/(1+aftCOC)^IF(Assumptions!$C$26="End",$S97,$S97-0.5)</f>
        <v>0</v>
      </c>
      <c r="Z97" s="71">
        <f>U97/(1+aftCOC)^IF(Assumptions!$C$26="End",$S97,$S97-0.5)</f>
        <v>0</v>
      </c>
      <c r="AA97" s="67"/>
      <c r="AB97" s="67"/>
      <c r="AC97" s="67"/>
      <c r="AD97" s="73">
        <f>IF(Assumptions!$T$33=TRUE,IF(Assumptions!$T$35=1,(((AD96+Assumptions!$C$40)*(1+$W$11)-Assumptions!$C$40)),T97),"")</f>
        <v>0</v>
      </c>
      <c r="AE97" s="73">
        <f>IF(Assumptions!$T$33=TRUE,IF(Assumptions!$T$35=1,(((AE96+(Assumptions!$C$40*aftCOC*(MIN((S97-5),1/aftCOC))))*(1+$W$11))-(Assumptions!$C$40*aftCOC*(MIN((S97-5),1/aftCOC)))),U97),"")</f>
        <v>0</v>
      </c>
    </row>
    <row r="98" spans="2:31" ht="12.75">
      <c r="B98" s="150"/>
      <c r="C98" s="151"/>
      <c r="D98" s="151"/>
      <c r="E98" s="151"/>
      <c r="F98" s="151"/>
      <c r="G98" s="151"/>
      <c r="H98" s="151"/>
      <c r="I98" s="151"/>
      <c r="J98" s="151"/>
      <c r="K98" s="151"/>
      <c r="L98" s="151"/>
      <c r="M98" s="151"/>
      <c r="N98" s="151"/>
      <c r="O98" s="178"/>
      <c r="S98" s="63">
        <v>92</v>
      </c>
      <c r="T98" s="64">
        <f>IF(ISERROR($V98),0,MAX(((T97+Assumptions!$C$40)*(1+$V98))-Assumptions!$C$40,0))</f>
        <v>0</v>
      </c>
      <c r="U98" s="64">
        <f>IF(ISERROR($V98),0,MAX(((U97+(Assumptions!$C$40*aftCOC*(MIN((S98-5),1/aftCOC))))*(1+$V98))-(Assumptions!$C$40*aftCOC*(MIN((S98-5),1/aftCOC))),0))</f>
        <v>0</v>
      </c>
      <c r="V98" s="76">
        <f>IF(S98&lt;=Assumptions!$C$37,$W$11-($W$11*(S98-S$11)/(Assumptions!$C$37-5)),-(((S98-Assumptions!$C$37)/(Assumptions!$C$38-Assumptions!$C$37))^5))</f>
        <v>-1777.9425277366254</v>
      </c>
      <c r="W98" s="66"/>
      <c r="X98" s="70"/>
      <c r="Y98" s="71">
        <f>T98/(1+aftCOC)^IF(Assumptions!$C$26="End",$S98,$S98-0.5)</f>
        <v>0</v>
      </c>
      <c r="Z98" s="71">
        <f>U98/(1+aftCOC)^IF(Assumptions!$C$26="End",$S98,$S98-0.5)</f>
        <v>0</v>
      </c>
      <c r="AA98" s="67"/>
      <c r="AB98" s="67"/>
      <c r="AC98" s="67"/>
      <c r="AD98" s="73">
        <f>IF(Assumptions!$T$33=TRUE,IF(Assumptions!$T$35=1,(((AD97+Assumptions!$C$40)*(1+$W$11)-Assumptions!$C$40)),T98),"")</f>
        <v>0</v>
      </c>
      <c r="AE98" s="73">
        <f>IF(Assumptions!$T$33=TRUE,IF(Assumptions!$T$35=1,(((AE97+(Assumptions!$C$40*aftCOC*(MIN((S98-5),1/aftCOC))))*(1+$W$11))-(Assumptions!$C$40*aftCOC*(MIN((S98-5),1/aftCOC)))),U98),"")</f>
        <v>0</v>
      </c>
    </row>
    <row r="99" spans="2:31" ht="8.25" customHeight="1">
      <c r="B99" s="206"/>
      <c r="C99" s="183"/>
      <c r="D99" s="183"/>
      <c r="E99" s="183"/>
      <c r="F99" s="183"/>
      <c r="G99" s="183"/>
      <c r="H99" s="183"/>
      <c r="I99" s="183"/>
      <c r="J99" s="183"/>
      <c r="K99" s="183"/>
      <c r="L99" s="183"/>
      <c r="M99" s="183"/>
      <c r="N99" s="183"/>
      <c r="O99" s="185"/>
      <c r="S99" s="63">
        <v>93</v>
      </c>
      <c r="T99" s="64">
        <f>IF(ISERROR($V99),0,MAX(((T98+Assumptions!$C$40)*(1+$V99))-Assumptions!$C$40,0))</f>
        <v>0</v>
      </c>
      <c r="U99" s="64">
        <f>IF(ISERROR($V99),0,MAX(((U98+(Assumptions!$C$40*aftCOC*(MIN((S99-5),1/aftCOC))))*(1+$V99))-(Assumptions!$C$40*aftCOC*(MIN((S99-5),1/aftCOC))),0))</f>
        <v>0</v>
      </c>
      <c r="V99" s="76">
        <f>IF(S99&lt;=Assumptions!$C$37,$W$11-($W$11*(S99-S$11)/(Assumptions!$C$37-5)),-(((S99-Assumptions!$C$37)/(Assumptions!$C$38-Assumptions!$C$37))^5))</f>
        <v>-1914.6450278189293</v>
      </c>
      <c r="W99" s="66"/>
      <c r="X99" s="70"/>
      <c r="Y99" s="71">
        <f>T99/(1+aftCOC)^IF(Assumptions!$C$26="End",$S99,$S99-0.5)</f>
        <v>0</v>
      </c>
      <c r="Z99" s="71">
        <f>U99/(1+aftCOC)^IF(Assumptions!$C$26="End",$S99,$S99-0.5)</f>
        <v>0</v>
      </c>
      <c r="AA99" s="67"/>
      <c r="AB99" s="67"/>
      <c r="AC99" s="67"/>
      <c r="AD99" s="73">
        <f>IF(Assumptions!$T$33=TRUE,IF(Assumptions!$T$35=1,(((AD98+Assumptions!$C$40)*(1+$W$11)-Assumptions!$C$40)),T99),"")</f>
        <v>0</v>
      </c>
      <c r="AE99" s="73">
        <f>IF(Assumptions!$T$33=TRUE,IF(Assumptions!$T$35=1,(((AE98+(Assumptions!$C$40*aftCOC*(MIN((S99-5),1/aftCOC))))*(1+$W$11))-(Assumptions!$C$40*aftCOC*(MIN((S99-5),1/aftCOC)))),U99),"")</f>
        <v>0</v>
      </c>
    </row>
    <row r="100" spans="2:31" ht="6" customHeight="1">
      <c r="B100" s="143"/>
      <c r="C100" s="143"/>
      <c r="D100" s="143"/>
      <c r="E100" s="143"/>
      <c r="F100" s="143"/>
      <c r="G100" s="143"/>
      <c r="H100" s="143"/>
      <c r="I100" s="143"/>
      <c r="J100" s="143"/>
      <c r="K100" s="143"/>
      <c r="L100" s="143"/>
      <c r="M100" s="143"/>
      <c r="N100" s="143"/>
      <c r="O100" s="143"/>
      <c r="S100" s="63">
        <v>94</v>
      </c>
      <c r="T100" s="64">
        <f>IF(ISERROR($V100),0,MAX(((T99+Assumptions!$C$40)*(1+$V100))-Assumptions!$C$40,0))</f>
        <v>0</v>
      </c>
      <c r="U100" s="64">
        <f>IF(ISERROR($V100),0,MAX(((U99+(Assumptions!$C$40*aftCOC*(MIN((S100-5),1/aftCOC))))*(1+$V100))-(Assumptions!$C$40*aftCOC*(MIN((S100-5),1/aftCOC))),0))</f>
        <v>0</v>
      </c>
      <c r="V100" s="76">
        <f>IF(S100&lt;=Assumptions!$C$37,$W$11-($W$11*(S100-S$11)/(Assumptions!$C$37-5)),-(((S100-Assumptions!$C$37)/(Assumptions!$C$38-Assumptions!$C$37))^5))</f>
        <v>-2059.6297599999994</v>
      </c>
      <c r="W100" s="66"/>
      <c r="X100" s="70"/>
      <c r="Y100" s="71">
        <f>T100/(1+aftCOC)^IF(Assumptions!$C$26="End",$S100,$S100-0.5)</f>
        <v>0</v>
      </c>
      <c r="Z100" s="71">
        <f>U100/(1+aftCOC)^IF(Assumptions!$C$26="End",$S100,$S100-0.5)</f>
        <v>0</v>
      </c>
      <c r="AA100" s="67"/>
      <c r="AB100" s="67"/>
      <c r="AC100" s="67"/>
      <c r="AD100" s="73">
        <f>IF(Assumptions!$T$33=TRUE,IF(Assumptions!$T$35=1,(((AD99+Assumptions!$C$40)*(1+$W$11)-Assumptions!$C$40)),T100),"")</f>
        <v>0</v>
      </c>
      <c r="AE100" s="73">
        <f>IF(Assumptions!$T$33=TRUE,IF(Assumptions!$T$35=1,(((AE99+(Assumptions!$C$40*aftCOC*(MIN((S100-5),1/aftCOC))))*(1+$W$11))-(Assumptions!$C$40*aftCOC*(MIN((S100-5),1/aftCOC)))),U100),"")</f>
        <v>0</v>
      </c>
    </row>
    <row r="101" spans="2:31" ht="12.75">
      <c r="B101" s="305" t="s">
        <v>206</v>
      </c>
      <c r="C101" s="306"/>
      <c r="D101" s="306"/>
      <c r="E101" s="306"/>
      <c r="F101" s="306"/>
      <c r="G101" s="306"/>
      <c r="H101" s="306"/>
      <c r="I101" s="306"/>
      <c r="J101" s="306"/>
      <c r="K101" s="306"/>
      <c r="L101" s="306"/>
      <c r="M101" s="306"/>
      <c r="N101" s="306"/>
      <c r="O101" s="307"/>
      <c r="S101" s="63">
        <v>95</v>
      </c>
      <c r="T101" s="64">
        <f>IF(ISERROR($V101),0,MAX(((T100+Assumptions!$C$40)*(1+$V101))-Assumptions!$C$40,0))</f>
        <v>0</v>
      </c>
      <c r="U101" s="64">
        <f>IF(ISERROR($V101),0,MAX(((U100+(Assumptions!$C$40*aftCOC*(MIN((S101-5),1/aftCOC))))*(1+$V101))-(Assumptions!$C$40*aftCOC*(MIN((S101-5),1/aftCOC))),0))</f>
        <v>0</v>
      </c>
      <c r="V101" s="76">
        <f>IF(S101&lt;=Assumptions!$C$37,$W$11-($W$11*(S101-S$11)/(Assumptions!$C$37-5)),-(((S101-Assumptions!$C$37)/(Assumptions!$C$38-Assumptions!$C$37))^5))</f>
        <v>-2213.2674897119355</v>
      </c>
      <c r="W101" s="66"/>
      <c r="X101" s="70"/>
      <c r="Y101" s="71">
        <f>T101/(1+aftCOC)^IF(Assumptions!$C$26="End",$S101,$S101-0.5)</f>
        <v>0</v>
      </c>
      <c r="Z101" s="71">
        <f>U101/(1+aftCOC)^IF(Assumptions!$C$26="End",$S101,$S101-0.5)</f>
        <v>0</v>
      </c>
      <c r="AA101" s="67"/>
      <c r="AB101" s="67"/>
      <c r="AC101" s="67"/>
      <c r="AD101" s="73">
        <f>IF(Assumptions!$T$33=TRUE,IF(Assumptions!$T$35=1,(((AD100+Assumptions!$C$40)*(1+$W$11)-Assumptions!$C$40)),T101),"")</f>
        <v>0</v>
      </c>
      <c r="AE101" s="73">
        <f>IF(Assumptions!$T$33=TRUE,IF(Assumptions!$T$35=1,(((AE100+(Assumptions!$C$40*aftCOC*(MIN((S101-5),1/aftCOC))))*(1+$W$11))-(Assumptions!$C$40*aftCOC*(MIN((S101-5),1/aftCOC)))),U101),"")</f>
        <v>0</v>
      </c>
    </row>
    <row r="102" spans="2:31" ht="12.75">
      <c r="B102" s="150"/>
      <c r="C102" s="216"/>
      <c r="D102" s="151"/>
      <c r="E102" s="151"/>
      <c r="F102" s="151"/>
      <c r="G102" s="151"/>
      <c r="H102" s="151"/>
      <c r="I102" s="151"/>
      <c r="J102" s="151"/>
      <c r="K102" s="151"/>
      <c r="L102" s="151"/>
      <c r="M102" s="151"/>
      <c r="N102" s="151"/>
      <c r="O102" s="178"/>
      <c r="S102" s="63">
        <v>96</v>
      </c>
      <c r="T102" s="64">
        <f>IF(ISERROR($V102),0,MAX(((T101+Assumptions!$C$40)*(1+$V102))-Assumptions!$C$40,0))</f>
        <v>0</v>
      </c>
      <c r="U102" s="64">
        <f>IF(ISERROR($V102),0,MAX(((U101+(Assumptions!$C$40*aftCOC*(MIN((S102-5),1/aftCOC))))*(1+$V102))-(Assumptions!$C$40*aftCOC*(MIN((S102-5),1/aftCOC))),0))</f>
        <v>0</v>
      </c>
      <c r="V102" s="76">
        <f>IF(S102&lt;=Assumptions!$C$37,$W$11-($W$11*(S102-S$11)/(Assumptions!$C$37-5)),-(((S102-Assumptions!$C$37)/(Assumptions!$C$38-Assumptions!$C$37))^5))</f>
        <v>-2375.939886090535</v>
      </c>
      <c r="W102" s="66"/>
      <c r="X102" s="70"/>
      <c r="Y102" s="71">
        <f>T102/(1+aftCOC)^IF(Assumptions!$C$26="End",$S102,$S102-0.5)</f>
        <v>0</v>
      </c>
      <c r="Z102" s="71">
        <f>U102/(1+aftCOC)^IF(Assumptions!$C$26="End",$S102,$S102-0.5)</f>
        <v>0</v>
      </c>
      <c r="AA102" s="67"/>
      <c r="AB102" s="67"/>
      <c r="AC102" s="67"/>
      <c r="AD102" s="73">
        <f>IF(Assumptions!$T$33=TRUE,IF(Assumptions!$T$35=1,(((AD101+Assumptions!$C$40)*(1+$W$11)-Assumptions!$C$40)),T102),"")</f>
        <v>0</v>
      </c>
      <c r="AE102" s="73">
        <f>IF(Assumptions!$T$33=TRUE,IF(Assumptions!$T$35=1,(((AE101+(Assumptions!$C$40*aftCOC*(MIN((S102-5),1/aftCOC))))*(1+$W$11))-(Assumptions!$C$40*aftCOC*(MIN((S102-5),1/aftCOC)))),U102),"")</f>
        <v>0</v>
      </c>
    </row>
    <row r="103" spans="2:31" ht="12.75">
      <c r="B103" s="150"/>
      <c r="C103" s="151"/>
      <c r="D103" s="151"/>
      <c r="E103" s="151"/>
      <c r="F103" s="151"/>
      <c r="G103" s="151"/>
      <c r="H103" s="151"/>
      <c r="I103" s="151"/>
      <c r="J103" s="151"/>
      <c r="K103" s="151"/>
      <c r="L103" s="151"/>
      <c r="M103" s="151"/>
      <c r="N103" s="151"/>
      <c r="O103" s="178"/>
      <c r="S103" s="63">
        <v>97</v>
      </c>
      <c r="T103" s="64">
        <f>IF(ISERROR($V103),0,MAX(((T102+Assumptions!$C$40)*(1+$V103))-Assumptions!$C$40,0))</f>
        <v>0</v>
      </c>
      <c r="U103" s="64">
        <f>IF(ISERROR($V103),0,MAX(((U102+(Assumptions!$C$40*aftCOC*(MIN((S103-5),1/aftCOC))))*(1+$V103))-(Assumptions!$C$40*aftCOC*(MIN((S103-5),1/aftCOC))),0))</f>
        <v>0</v>
      </c>
      <c r="V103" s="76">
        <f>IF(S103&lt;=Assumptions!$C$37,$W$11-($W$11*(S103-S$11)/(Assumptions!$C$37-5)),-(((S103-Assumptions!$C$37)/(Assumptions!$C$38-Assumptions!$C$37))^5))</f>
        <v>-2548.03968</v>
      </c>
      <c r="W103" s="66"/>
      <c r="X103" s="70"/>
      <c r="Y103" s="71">
        <f>T103/(1+aftCOC)^IF(Assumptions!$C$26="End",$S103,$S103-0.5)</f>
        <v>0</v>
      </c>
      <c r="Z103" s="71">
        <f>U103/(1+aftCOC)^IF(Assumptions!$C$26="End",$S103,$S103-0.5)</f>
        <v>0</v>
      </c>
      <c r="AA103" s="67"/>
      <c r="AB103" s="67"/>
      <c r="AC103" s="67"/>
      <c r="AD103" s="73">
        <f>IF(Assumptions!$T$33=TRUE,IF(Assumptions!$T$35=1,(((AD102+Assumptions!$C$40)*(1+$W$11)-Assumptions!$C$40)),T103),"")</f>
        <v>0</v>
      </c>
      <c r="AE103" s="73">
        <f>IF(Assumptions!$T$33=TRUE,IF(Assumptions!$T$35=1,(((AE102+(Assumptions!$C$40*aftCOC*(MIN((S103-5),1/aftCOC))))*(1+$W$11))-(Assumptions!$C$40*aftCOC*(MIN((S103-5),1/aftCOC)))),U103),"")</f>
        <v>0</v>
      </c>
    </row>
    <row r="104" spans="2:31" ht="12.75">
      <c r="B104" s="150"/>
      <c r="C104" s="151"/>
      <c r="D104" s="151"/>
      <c r="E104" s="151"/>
      <c r="F104" s="151"/>
      <c r="G104" s="151"/>
      <c r="H104" s="151"/>
      <c r="I104" s="151"/>
      <c r="J104" s="151"/>
      <c r="K104" s="151"/>
      <c r="L104" s="151"/>
      <c r="M104" s="151"/>
      <c r="N104" s="151"/>
      <c r="O104" s="178"/>
      <c r="S104" s="63">
        <v>98</v>
      </c>
      <c r="T104" s="64">
        <f>IF(ISERROR($V104),0,MAX(((T103+Assumptions!$C$40)*(1+$V104))-Assumptions!$C$40,0))</f>
        <v>0</v>
      </c>
      <c r="U104" s="64">
        <f>IF(ISERROR($V104),0,MAX(((U103+(Assumptions!$C$40*aftCOC*(MIN((S104-5),1/aftCOC))))*(1+$V104))-(Assumptions!$C$40*aftCOC*(MIN((S104-5),1/aftCOC))),0))</f>
        <v>0</v>
      </c>
      <c r="V104" s="76">
        <f>IF(S104&lt;=Assumptions!$C$37,$W$11-($W$11*(S104-S$11)/(Assumptions!$C$37-5)),-(((S104-Assumptions!$C$37)/(Assumptions!$C$38-Assumptions!$C$37))^5))</f>
        <v>-2729.970822057612</v>
      </c>
      <c r="W104" s="66"/>
      <c r="X104" s="70"/>
      <c r="Y104" s="71">
        <f>T104/(1+aftCOC)^IF(Assumptions!$C$26="End",$S104,$S104-0.5)</f>
        <v>0</v>
      </c>
      <c r="Z104" s="71">
        <f>U104/(1+aftCOC)^IF(Assumptions!$C$26="End",$S104,$S104-0.5)</f>
        <v>0</v>
      </c>
      <c r="AA104" s="67"/>
      <c r="AB104" s="67"/>
      <c r="AC104" s="67"/>
      <c r="AD104" s="73">
        <f>IF(Assumptions!$T$33=TRUE,IF(Assumptions!$T$35=1,(((AD103+Assumptions!$C$40)*(1+$W$11)-Assumptions!$C$40)),T104),"")</f>
        <v>0</v>
      </c>
      <c r="AE104" s="73">
        <f>IF(Assumptions!$T$33=TRUE,IF(Assumptions!$T$35=1,(((AE103+(Assumptions!$C$40*aftCOC*(MIN((S104-5),1/aftCOC))))*(1+$W$11))-(Assumptions!$C$40*aftCOC*(MIN((S104-5),1/aftCOC)))),U104),"")</f>
        <v>0</v>
      </c>
    </row>
    <row r="105" spans="2:31" ht="12.75">
      <c r="B105" s="150"/>
      <c r="C105" s="151"/>
      <c r="D105" s="151"/>
      <c r="E105" s="151"/>
      <c r="F105" s="151"/>
      <c r="G105" s="151"/>
      <c r="H105" s="151"/>
      <c r="I105" s="151"/>
      <c r="J105" s="151"/>
      <c r="K105" s="151"/>
      <c r="L105" s="151"/>
      <c r="M105" s="151"/>
      <c r="N105" s="151"/>
      <c r="O105" s="178"/>
      <c r="S105" s="63">
        <v>99</v>
      </c>
      <c r="T105" s="64">
        <f>IF(ISERROR($V105),0,MAX(((T104+Assumptions!$C$40)*(1+$V105))-Assumptions!$C$40,0))</f>
        <v>0</v>
      </c>
      <c r="U105" s="64">
        <f>IF(ISERROR($V105),0,MAX(((U104+(Assumptions!$C$40*aftCOC*(MIN((S105-5),1/aftCOC))))*(1+$V105))-(Assumptions!$C$40*aftCOC*(MIN((S105-5),1/aftCOC))),0))</f>
        <v>0</v>
      </c>
      <c r="V105" s="76">
        <f>IF(S105&lt;=Assumptions!$C$37,$W$11-($W$11*(S105-S$11)/(Assumptions!$C$37-5)),-(((S105-Assumptions!$C$37)/(Assumptions!$C$38-Assumptions!$C$37))^5))</f>
        <v>-2922.1486406584368</v>
      </c>
      <c r="W105" s="66"/>
      <c r="X105" s="70"/>
      <c r="Y105" s="71">
        <f>T105/(1+aftCOC)^IF(Assumptions!$C$26="End",$S105,$S105-0.5)</f>
        <v>0</v>
      </c>
      <c r="Z105" s="71">
        <f>U105/(1+aftCOC)^IF(Assumptions!$C$26="End",$S105,$S105-0.5)</f>
        <v>0</v>
      </c>
      <c r="AA105" s="67"/>
      <c r="AB105" s="67"/>
      <c r="AC105" s="67"/>
      <c r="AD105" s="73">
        <f>IF(Assumptions!$T$33=TRUE,IF(Assumptions!$T$35=1,(((AD104+Assumptions!$C$40)*(1+$W$11)-Assumptions!$C$40)),T105),"")</f>
        <v>0</v>
      </c>
      <c r="AE105" s="73">
        <f>IF(Assumptions!$T$33=TRUE,IF(Assumptions!$T$35=1,(((AE104+(Assumptions!$C$40*aftCOC*(MIN((S105-5),1/aftCOC))))*(1+$W$11))-(Assumptions!$C$40*aftCOC*(MIN((S105-5),1/aftCOC)))),U105),"")</f>
        <v>0</v>
      </c>
    </row>
    <row r="106" spans="2:31" ht="12.75">
      <c r="B106" s="150"/>
      <c r="C106" s="151"/>
      <c r="D106" s="151"/>
      <c r="E106" s="151"/>
      <c r="F106" s="151"/>
      <c r="G106" s="151"/>
      <c r="H106" s="151"/>
      <c r="I106" s="151"/>
      <c r="J106" s="151"/>
      <c r="K106" s="151"/>
      <c r="L106" s="151"/>
      <c r="M106" s="151"/>
      <c r="N106" s="151"/>
      <c r="O106" s="178"/>
      <c r="S106" s="63">
        <v>100</v>
      </c>
      <c r="T106" s="64">
        <f>IF(ISERROR($V106),0,MAX(((T105+Assumptions!$C$40)*(1+$V106))-Assumptions!$C$40,0))</f>
        <v>0</v>
      </c>
      <c r="U106" s="64">
        <f>IF(ISERROR($V106),0,MAX(((U105+(Assumptions!$C$40*aftCOC*(MIN((S106-5),1/aftCOC))))*(1+$V106))-(Assumptions!$C$40*aftCOC*(MIN((S106-5),1/aftCOC))),0))</f>
        <v>0</v>
      </c>
      <c r="V106" s="76">
        <f>IF(S106&lt;=Assumptions!$C$37,$W$11-($W$11*(S106-S$11)/(Assumptions!$C$37-5)),-(((S106-Assumptions!$C$37)/(Assumptions!$C$38-Assumptions!$C$37))^5))</f>
        <v>-3125</v>
      </c>
      <c r="W106" s="66"/>
      <c r="X106" s="71"/>
      <c r="Y106" s="71">
        <f>T106/(1+aftCOC)^IF(Assumptions!$C$26="End",$S106,$S106-0.5)</f>
        <v>0</v>
      </c>
      <c r="Z106" s="71">
        <f>U106/(1+aftCOC)^IF(Assumptions!$C$26="End",$S106,$S106-0.5)</f>
        <v>0</v>
      </c>
      <c r="AA106" s="67"/>
      <c r="AB106" s="67"/>
      <c r="AC106" s="67"/>
      <c r="AD106" s="73">
        <f>IF(Assumptions!$T$33=TRUE,IF(Assumptions!$T$35=1,(((AD105+Assumptions!$C$40)*(1+$W$11)-Assumptions!$C$40)),T106),"")</f>
        <v>0</v>
      </c>
      <c r="AE106" s="73">
        <f>IF(Assumptions!$T$33=TRUE,IF(Assumptions!$T$35=1,(((AE105+(Assumptions!$C$40*aftCOC*(MIN((S106-5),1/aftCOC))))*(1+$W$11))-(Assumptions!$C$40*aftCOC*(MIN((S106-5),1/aftCOC)))),U106),"")</f>
        <v>0</v>
      </c>
    </row>
    <row r="107" spans="2:15" ht="12.75">
      <c r="B107" s="150"/>
      <c r="C107" s="151"/>
      <c r="D107" s="151"/>
      <c r="E107" s="151"/>
      <c r="F107" s="151"/>
      <c r="G107" s="151"/>
      <c r="H107" s="151"/>
      <c r="I107" s="151"/>
      <c r="J107" s="151"/>
      <c r="K107" s="151"/>
      <c r="L107" s="151"/>
      <c r="M107" s="151"/>
      <c r="N107" s="151"/>
      <c r="O107" s="178"/>
    </row>
    <row r="108" spans="2:15" ht="12.75">
      <c r="B108" s="150"/>
      <c r="C108" s="151"/>
      <c r="D108" s="151"/>
      <c r="E108" s="151"/>
      <c r="F108" s="151"/>
      <c r="G108" s="151"/>
      <c r="H108" s="151"/>
      <c r="I108" s="151"/>
      <c r="J108" s="151"/>
      <c r="K108" s="151"/>
      <c r="L108" s="151"/>
      <c r="M108" s="151"/>
      <c r="N108" s="151"/>
      <c r="O108" s="178"/>
    </row>
    <row r="109" spans="2:15" ht="12.75">
      <c r="B109" s="150"/>
      <c r="C109" s="151"/>
      <c r="D109" s="151"/>
      <c r="E109" s="151"/>
      <c r="F109" s="151"/>
      <c r="G109" s="151"/>
      <c r="H109" s="151"/>
      <c r="I109" s="151"/>
      <c r="J109" s="151"/>
      <c r="K109" s="151"/>
      <c r="L109" s="151"/>
      <c r="M109" s="151"/>
      <c r="N109" s="151"/>
      <c r="O109" s="178"/>
    </row>
    <row r="110" spans="2:15" ht="12.75">
      <c r="B110" s="150"/>
      <c r="C110" s="151"/>
      <c r="D110" s="151"/>
      <c r="E110" s="151"/>
      <c r="F110" s="151"/>
      <c r="G110" s="151"/>
      <c r="H110" s="151"/>
      <c r="I110" s="151"/>
      <c r="J110" s="151"/>
      <c r="K110" s="151"/>
      <c r="L110" s="151"/>
      <c r="M110" s="151"/>
      <c r="N110" s="151"/>
      <c r="O110" s="178"/>
    </row>
    <row r="111" spans="2:15" ht="12.75">
      <c r="B111" s="150"/>
      <c r="C111" s="151"/>
      <c r="D111" s="151"/>
      <c r="E111" s="151"/>
      <c r="F111" s="151"/>
      <c r="G111" s="151"/>
      <c r="H111" s="151"/>
      <c r="I111" s="151"/>
      <c r="J111" s="151"/>
      <c r="K111" s="151"/>
      <c r="L111" s="151"/>
      <c r="M111" s="151"/>
      <c r="N111" s="151"/>
      <c r="O111" s="178"/>
    </row>
    <row r="112" spans="2:15" ht="12.75">
      <c r="B112" s="150"/>
      <c r="C112" s="151"/>
      <c r="D112" s="151"/>
      <c r="E112" s="151"/>
      <c r="F112" s="151"/>
      <c r="G112" s="151"/>
      <c r="H112" s="151"/>
      <c r="I112" s="151"/>
      <c r="J112" s="151"/>
      <c r="K112" s="151"/>
      <c r="L112" s="151"/>
      <c r="M112" s="151"/>
      <c r="N112" s="151"/>
      <c r="O112" s="178"/>
    </row>
    <row r="113" spans="2:15" ht="12.75">
      <c r="B113" s="150"/>
      <c r="C113" s="151"/>
      <c r="D113" s="151"/>
      <c r="E113" s="151"/>
      <c r="F113" s="151"/>
      <c r="G113" s="151"/>
      <c r="H113" s="151"/>
      <c r="I113" s="151"/>
      <c r="J113" s="151"/>
      <c r="K113" s="151"/>
      <c r="L113" s="151"/>
      <c r="M113" s="151"/>
      <c r="N113" s="151"/>
      <c r="O113" s="178"/>
    </row>
    <row r="114" spans="2:15" ht="12.75">
      <c r="B114" s="150"/>
      <c r="C114" s="151"/>
      <c r="D114" s="151"/>
      <c r="E114" s="151"/>
      <c r="F114" s="151"/>
      <c r="G114" s="151"/>
      <c r="H114" s="151"/>
      <c r="I114" s="151"/>
      <c r="J114" s="151"/>
      <c r="K114" s="151"/>
      <c r="L114" s="151"/>
      <c r="M114" s="151"/>
      <c r="N114" s="151"/>
      <c r="O114" s="178"/>
    </row>
    <row r="115" spans="2:15" ht="12.75">
      <c r="B115" s="150"/>
      <c r="C115" s="151"/>
      <c r="D115" s="151"/>
      <c r="E115" s="151"/>
      <c r="F115" s="151"/>
      <c r="G115" s="151"/>
      <c r="H115" s="151"/>
      <c r="I115" s="151"/>
      <c r="J115" s="151"/>
      <c r="K115" s="151"/>
      <c r="L115" s="151"/>
      <c r="M115" s="151"/>
      <c r="N115" s="151"/>
      <c r="O115" s="178"/>
    </row>
    <row r="116" spans="2:15" ht="12.75">
      <c r="B116" s="150"/>
      <c r="C116" s="151"/>
      <c r="D116" s="151"/>
      <c r="E116" s="151"/>
      <c r="F116" s="151"/>
      <c r="G116" s="151"/>
      <c r="H116" s="151"/>
      <c r="I116" s="151"/>
      <c r="J116" s="151"/>
      <c r="K116" s="151"/>
      <c r="L116" s="151"/>
      <c r="M116" s="151"/>
      <c r="N116" s="151"/>
      <c r="O116" s="178"/>
    </row>
    <row r="117" spans="2:15" ht="12.75">
      <c r="B117" s="150"/>
      <c r="C117" s="151"/>
      <c r="D117" s="151"/>
      <c r="E117" s="151"/>
      <c r="F117" s="151"/>
      <c r="G117" s="151"/>
      <c r="H117" s="151"/>
      <c r="I117" s="151"/>
      <c r="J117" s="151"/>
      <c r="K117" s="151"/>
      <c r="L117" s="151"/>
      <c r="M117" s="151"/>
      <c r="N117" s="151"/>
      <c r="O117" s="178"/>
    </row>
    <row r="118" spans="2:15" ht="12.75">
      <c r="B118" s="150"/>
      <c r="C118" s="151"/>
      <c r="D118" s="151"/>
      <c r="E118" s="151"/>
      <c r="F118" s="151"/>
      <c r="G118" s="151"/>
      <c r="H118" s="151"/>
      <c r="I118" s="151"/>
      <c r="J118" s="151"/>
      <c r="K118" s="151"/>
      <c r="L118" s="151"/>
      <c r="M118" s="151"/>
      <c r="N118" s="151"/>
      <c r="O118" s="178"/>
    </row>
    <row r="119" spans="2:15" ht="12.75">
      <c r="B119" s="150"/>
      <c r="C119" s="151"/>
      <c r="D119" s="151"/>
      <c r="E119" s="151"/>
      <c r="F119" s="151"/>
      <c r="G119" s="151"/>
      <c r="H119" s="151"/>
      <c r="I119" s="151"/>
      <c r="J119" s="151"/>
      <c r="K119" s="151"/>
      <c r="L119" s="151"/>
      <c r="M119" s="151"/>
      <c r="N119" s="151"/>
      <c r="O119" s="178"/>
    </row>
    <row r="120" spans="2:15" ht="12.75">
      <c r="B120" s="150"/>
      <c r="C120" s="151"/>
      <c r="D120" s="151"/>
      <c r="E120" s="151"/>
      <c r="F120" s="151"/>
      <c r="G120" s="151"/>
      <c r="H120" s="151"/>
      <c r="I120" s="151"/>
      <c r="J120" s="151"/>
      <c r="K120" s="151"/>
      <c r="L120" s="151"/>
      <c r="M120" s="151"/>
      <c r="N120" s="151"/>
      <c r="O120" s="178"/>
    </row>
    <row r="121" spans="2:15" ht="12.75">
      <c r="B121" s="150"/>
      <c r="C121" s="151"/>
      <c r="D121" s="151"/>
      <c r="E121" s="151"/>
      <c r="F121" s="151"/>
      <c r="G121" s="151"/>
      <c r="H121" s="151"/>
      <c r="I121" s="151"/>
      <c r="J121" s="151"/>
      <c r="K121" s="151"/>
      <c r="L121" s="151"/>
      <c r="M121" s="151"/>
      <c r="N121" s="151"/>
      <c r="O121" s="178"/>
    </row>
    <row r="122" spans="2:15" ht="12.75">
      <c r="B122" s="150"/>
      <c r="C122" s="151"/>
      <c r="D122" s="151"/>
      <c r="E122" s="151"/>
      <c r="F122" s="151"/>
      <c r="G122" s="151"/>
      <c r="H122" s="151"/>
      <c r="I122" s="151"/>
      <c r="J122" s="151"/>
      <c r="K122" s="151"/>
      <c r="L122" s="151"/>
      <c r="M122" s="151"/>
      <c r="N122" s="151"/>
      <c r="O122" s="178"/>
    </row>
    <row r="123" spans="2:15" ht="12.75">
      <c r="B123" s="150"/>
      <c r="C123" s="151"/>
      <c r="D123" s="151"/>
      <c r="E123" s="151"/>
      <c r="F123" s="151"/>
      <c r="G123" s="151"/>
      <c r="H123" s="151"/>
      <c r="I123" s="151"/>
      <c r="J123" s="151"/>
      <c r="K123" s="151"/>
      <c r="L123" s="151"/>
      <c r="M123" s="151"/>
      <c r="N123" s="151"/>
      <c r="O123" s="178"/>
    </row>
    <row r="124" spans="2:15" ht="12.75">
      <c r="B124" s="150"/>
      <c r="C124" s="151"/>
      <c r="D124" s="151"/>
      <c r="E124" s="151"/>
      <c r="F124" s="151"/>
      <c r="G124" s="151"/>
      <c r="H124" s="151"/>
      <c r="I124" s="151"/>
      <c r="J124" s="151"/>
      <c r="K124" s="151"/>
      <c r="L124" s="151"/>
      <c r="M124" s="151"/>
      <c r="N124" s="151"/>
      <c r="O124" s="178"/>
    </row>
    <row r="125" spans="2:15" ht="12.75">
      <c r="B125" s="150"/>
      <c r="C125" s="151"/>
      <c r="D125" s="151"/>
      <c r="E125" s="151"/>
      <c r="F125" s="151"/>
      <c r="G125" s="151"/>
      <c r="H125" s="151"/>
      <c r="I125" s="151"/>
      <c r="J125" s="151"/>
      <c r="K125" s="151"/>
      <c r="L125" s="151"/>
      <c r="M125" s="151"/>
      <c r="N125" s="151"/>
      <c r="O125" s="178"/>
    </row>
    <row r="126" spans="2:15" ht="12.75">
      <c r="B126" s="150"/>
      <c r="C126" s="151"/>
      <c r="D126" s="151"/>
      <c r="E126" s="151"/>
      <c r="F126" s="151"/>
      <c r="G126" s="151"/>
      <c r="H126" s="151"/>
      <c r="I126" s="151"/>
      <c r="J126" s="151"/>
      <c r="K126" s="151"/>
      <c r="L126" s="151"/>
      <c r="M126" s="151"/>
      <c r="N126" s="151"/>
      <c r="O126" s="178"/>
    </row>
    <row r="127" spans="2:15" ht="12.75">
      <c r="B127" s="150"/>
      <c r="C127" s="151"/>
      <c r="D127" s="151"/>
      <c r="E127" s="151"/>
      <c r="F127" s="151"/>
      <c r="G127" s="151"/>
      <c r="H127" s="151"/>
      <c r="I127" s="151"/>
      <c r="J127" s="151"/>
      <c r="K127" s="151"/>
      <c r="L127" s="151"/>
      <c r="M127" s="151"/>
      <c r="N127" s="151"/>
      <c r="O127" s="178"/>
    </row>
    <row r="128" spans="2:15" ht="6.75" customHeight="1">
      <c r="B128" s="206"/>
      <c r="C128" s="183"/>
      <c r="D128" s="183"/>
      <c r="E128" s="183"/>
      <c r="F128" s="183"/>
      <c r="G128" s="183"/>
      <c r="H128" s="183"/>
      <c r="I128" s="183"/>
      <c r="J128" s="183"/>
      <c r="K128" s="183"/>
      <c r="L128" s="183"/>
      <c r="M128" s="183"/>
      <c r="N128" s="183"/>
      <c r="O128" s="185"/>
    </row>
  </sheetData>
  <sheetProtection/>
  <mergeCells count="5">
    <mergeCell ref="B101:O101"/>
    <mergeCell ref="H63:O63"/>
    <mergeCell ref="B2:O2"/>
    <mergeCell ref="B63:F63"/>
    <mergeCell ref="B72:O72"/>
  </mergeCells>
  <printOptions/>
  <pageMargins left="0.75" right="0.75" top="1" bottom="1" header="0.5" footer="0.5"/>
  <pageSetup horizontalDpi="360" verticalDpi="360" orientation="landscape" paperSize="9" scale="96" r:id="rId2"/>
  <headerFooter alignWithMargins="0">
    <oddFooter>&amp;LPage &amp;P of &amp;N&amp;C&amp;F&amp;A&amp;R&amp;D</oddFooter>
  </headerFooter>
  <rowBreaks count="3" manualBreakCount="3">
    <brk id="41" min="1" max="14" man="1"/>
    <brk id="71" min="1" max="14" man="1"/>
    <brk id="100" min="1" max="14"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Business-Spreadsheets.com</Company>
  <HyperlinkBase>http://www.business-spreadsheets.com/investval.htm</HyperlinkBas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Investment and Business Valuation Model</dc:title>
  <dc:subject>Investment and Business Valuation</dc:subject>
  <dc:creator>Business Spreadsheets</dc:creator>
  <cp:keywords>Investment, Business, Valuation, NPV, EVA, IRR</cp:keywords>
  <dc:description>The Investment and Business Valuation model is ideal for evaluating a wide range of investment and business case scenarios.  While it is based on the traditional discounted cash flow method of valuation, its also provides ability to evaluate economic value added valuation, accounting impact, and a range of other evaluation parameters.  Furthermore, the step-by-step input flow makes usage straightforward, gaining quick results to drive decision-making. </dc:description>
  <cp:lastModifiedBy>Business Spreadsheets</cp:lastModifiedBy>
  <cp:lastPrinted>2002-02-10T15:20:41Z</cp:lastPrinted>
  <dcterms:created xsi:type="dcterms:W3CDTF">2001-12-16T14:23:53Z</dcterms:created>
  <dcterms:modified xsi:type="dcterms:W3CDTF">2010-03-08T09:53:44Z</dcterms:modified>
  <cp:category>Investment and Business Valuation</cp:category>
  <cp:version/>
  <cp:contentType/>
  <cp:contentStatus/>
</cp:coreProperties>
</file>