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2650" windowHeight="12915"/>
  </bookViews>
  <sheets>
    <sheet name="ARAP Savings Calculator" sheetId="2" r:id="rId1"/>
  </sheets>
  <calcPr calcId="152511"/>
</workbook>
</file>

<file path=xl/calcChain.xml><?xml version="1.0" encoding="utf-8"?>
<calcChain xmlns="http://schemas.openxmlformats.org/spreadsheetml/2006/main">
  <c r="G178" i="2" l="1"/>
  <c r="G177" i="2"/>
  <c r="G174" i="2"/>
  <c r="G200" i="2"/>
  <c r="G172" i="2" l="1"/>
  <c r="G171" i="2"/>
  <c r="G165" i="2"/>
  <c r="G166" i="2" s="1"/>
  <c r="G159" i="2"/>
  <c r="G161" i="2" s="1"/>
  <c r="G162" i="2" s="1"/>
  <c r="G197" i="2" s="1"/>
  <c r="G153" i="2"/>
  <c r="G155" i="2" s="1"/>
  <c r="G147" i="2"/>
  <c r="G149" i="2" s="1"/>
  <c r="G150" i="2" s="1"/>
  <c r="G195" i="2" s="1"/>
  <c r="G141" i="2"/>
  <c r="G143" i="2" s="1"/>
  <c r="G135" i="2"/>
  <c r="G137" i="2" s="1"/>
  <c r="G138" i="2" s="1"/>
  <c r="G193" i="2" s="1"/>
  <c r="G129" i="2"/>
  <c r="G128" i="2"/>
  <c r="G131" i="2" s="1"/>
  <c r="G123" i="2"/>
  <c r="G117" i="2"/>
  <c r="G119" i="2" s="1"/>
  <c r="G120" i="2" s="1"/>
  <c r="G192" i="2" s="1"/>
  <c r="G113" i="2"/>
  <c r="G107" i="2"/>
  <c r="G109" i="2" s="1"/>
  <c r="G110" i="2" s="1"/>
  <c r="G188" i="2" s="1"/>
  <c r="G100" i="2"/>
  <c r="G99" i="2"/>
  <c r="G95" i="2"/>
  <c r="G96" i="2" s="1"/>
  <c r="G91" i="2"/>
  <c r="G89" i="2"/>
  <c r="G88" i="2"/>
  <c r="G87" i="2"/>
  <c r="G37" i="2"/>
  <c r="G12" i="2"/>
  <c r="G11" i="2"/>
  <c r="G10" i="2"/>
  <c r="G90" i="2" l="1"/>
  <c r="G203" i="2"/>
  <c r="E205" i="2" s="1"/>
  <c r="G92" i="2"/>
  <c r="G105" i="2"/>
  <c r="G106" i="2" s="1"/>
  <c r="G187" i="2" s="1"/>
  <c r="G83" i="2"/>
  <c r="G168" i="2" s="1"/>
  <c r="G199" i="2" s="1"/>
  <c r="G132" i="2"/>
  <c r="G191" i="2" s="1"/>
  <c r="G115" i="2"/>
  <c r="G116" i="2" s="1"/>
  <c r="G189" i="2" s="1"/>
  <c r="G124" i="2"/>
  <c r="G126" i="2" s="1"/>
  <c r="G127" i="2" s="1"/>
  <c r="G190" i="2" s="1"/>
  <c r="G144" i="2"/>
  <c r="G194" i="2" s="1"/>
  <c r="G156" i="2"/>
  <c r="G196" i="2" s="1"/>
  <c r="G182" i="2" l="1"/>
</calcChain>
</file>

<file path=xl/sharedStrings.xml><?xml version="1.0" encoding="utf-8"?>
<sst xmlns="http://schemas.openxmlformats.org/spreadsheetml/2006/main" count="189" uniqueCount="151">
  <si>
    <t>[Company Name]</t>
  </si>
  <si>
    <t>Automated resume and application processing (ARAP) savings calculator</t>
  </si>
  <si>
    <t>[Date]</t>
  </si>
  <si>
    <t>Recruiting data worksheet</t>
  </si>
  <si>
    <t>Hiring practices</t>
  </si>
  <si>
    <t>How many employees are in your organization?</t>
  </si>
  <si>
    <t>How many people did you hire during the last fiscal year?</t>
  </si>
  <si>
    <t>How many people do you plan to hire during this fiscal year?</t>
  </si>
  <si>
    <t>How many people do you plan to hire during the next fiscal year?</t>
  </si>
  <si>
    <t>Is your organization's cost-per-hire information broken down by position, department, and region?</t>
  </si>
  <si>
    <t>Yes</t>
  </si>
  <si>
    <t>What is your organization's hiring cycle time (in days)?</t>
  </si>
  <si>
    <t>What variables does your organization use to measure hiring cycle time?</t>
  </si>
  <si>
    <t>1.
2.
3.</t>
  </si>
  <si>
    <t>How many resumes are processed annually?</t>
  </si>
  <si>
    <t>How many applications are processed annually?</t>
  </si>
  <si>
    <t>What is the approximate percentage of the total resumes that your organization received from each of the following sources?</t>
  </si>
  <si>
    <t>Unsolicited mail</t>
  </si>
  <si>
    <t>Recruitment advertising (in publications such as newspapers and magazines)</t>
  </si>
  <si>
    <t>Outside staffing firms</t>
  </si>
  <si>
    <t>Career fairs</t>
  </si>
  <si>
    <t>Campus recruitment</t>
  </si>
  <si>
    <t>Internet advertising/posting boards</t>
  </si>
  <si>
    <t>Employee referrals</t>
  </si>
  <si>
    <t>Of the resumes received by your organization, what percentage are received:</t>
  </si>
  <si>
    <t>In paper form (this includes fax)?</t>
  </si>
  <si>
    <t>Through an online application?</t>
  </si>
  <si>
    <t>Through e-mail as an attached file?</t>
  </si>
  <si>
    <t>What is the annual turnover rate for your organization?</t>
  </si>
  <si>
    <t>Annual staffing expenses</t>
  </si>
  <si>
    <t>How many FTEs in your organization are allocated to the processing of resumes and applications?</t>
  </si>
  <si>
    <t>What is the average, fully burdened, hourly rate paid to your employees who process resumes and applications?</t>
  </si>
  <si>
    <t>How many documents (resumes and applications) can an employee
process per day?</t>
  </si>
  <si>
    <t>How many hours per FTE are available annually to process documents?</t>
  </si>
  <si>
    <t>If applicable, what are your HR department’s annual chargebacks to other departments for your recruitment services?</t>
  </si>
  <si>
    <t>How much does your organization spend annually on outside staffing firms?</t>
  </si>
  <si>
    <t>Retained recruiting firms</t>
  </si>
  <si>
    <t>Contingent recruiting firms</t>
  </si>
  <si>
    <t>Temporary placement firms</t>
  </si>
  <si>
    <t>Annual recruiting expenses—Advertising</t>
  </si>
  <si>
    <t>How much does your organization spend annually on recruitment advertising?</t>
  </si>
  <si>
    <t>Newspapers</t>
  </si>
  <si>
    <t>Advertising firms</t>
  </si>
  <si>
    <t>Internet advertising</t>
  </si>
  <si>
    <t>Magazines and periodicals</t>
  </si>
  <si>
    <t>How much does your organization spend annually on external job posting environments?</t>
  </si>
  <si>
    <t>Internet job boards</t>
  </si>
  <si>
    <t>Paper-based bulletin boards</t>
  </si>
  <si>
    <t>Kiosks</t>
  </si>
  <si>
    <t>Annual recruiting expenses—Special programs and career fairs</t>
  </si>
  <si>
    <t>What types of special programs do you incorporate into your organization's recruitment efforts (for example, virtual job fairs, radio promotions, special public relations activities, recruiter attendance at trade shows, and recruiter attendance at local community events)?</t>
  </si>
  <si>
    <t>How many of these special programs does your organization commit to annually?</t>
  </si>
  <si>
    <t>How much does your organization spend annually on these special programs and events?</t>
  </si>
  <si>
    <t>If your organization recruits internationally, what are the annual costs associated with visa attainment, legal matters, expatriate-related matters, and other efforts?</t>
  </si>
  <si>
    <t>How many career fairs does your organization attend annually?</t>
  </si>
  <si>
    <t>What is the average cost for attendance at these career fairs? 
Include costs for registration, booth space, travel, lodging, meals, and other related expenses.</t>
  </si>
  <si>
    <t>Annual recruiting expenses—Campus recruitment</t>
  </si>
  <si>
    <t>Is your organization actively involved in campus recruitment?</t>
  </si>
  <si>
    <t>On how many campuses is your organization involved in recruitment?</t>
  </si>
  <si>
    <t>What are the annual college recruitment costs?</t>
  </si>
  <si>
    <t>How many new hires result from these efforts?</t>
  </si>
  <si>
    <t>Does your organization have an active internship or co-op program on these campuses?</t>
  </si>
  <si>
    <t>No</t>
  </si>
  <si>
    <t>How many interns and co-op students are hired annually?</t>
  </si>
  <si>
    <t>Do you plan to expand your organization's campus recruitment efforts to
additional campuses or strengthen relations with your current campuses?</t>
  </si>
  <si>
    <t>Annual recruiting expenses—Other</t>
  </si>
  <si>
    <t>How much does your organization spend annually on travel, lodging, meals, and so on, associated with your recruitment efforts? This should include on-campus recruitment events, interviews, bringing candidates on-site for interviews, and other efforts.</t>
  </si>
  <si>
    <t>How much does your organization spend annually on relocation?</t>
  </si>
  <si>
    <t>How much does your organization spend annually on signing bonuses and other material perquisites?</t>
  </si>
  <si>
    <t>What is your organization's annual expenditure for third-party vendor services such as background checks, credit checks, prescreening services, and surveys?</t>
  </si>
  <si>
    <t>If your organization uses an employee referral program (ERP), what is the average payment to employees for each hire?</t>
  </si>
  <si>
    <t>How many new hires result annually from your organization's employee referrals?</t>
  </si>
  <si>
    <t>If applicable, what are the annual IT chargebacks allocated to your 
HR department?</t>
  </si>
  <si>
    <t>Annual cost per hire</t>
  </si>
  <si>
    <t>Potential savings calculations for ARAP</t>
  </si>
  <si>
    <t>In-house calculation</t>
  </si>
  <si>
    <t>Number of resumes and applications processed annually</t>
  </si>
  <si>
    <t>Current number of FTEs allocated to this process in your organization</t>
  </si>
  <si>
    <t>Fully burdened hourly rate of FTEs allocated to this process</t>
  </si>
  <si>
    <t>Annual cost to process these documents in-house</t>
  </si>
  <si>
    <t>Number of FTEs required to effectively meet your organization's annual document-processing needs</t>
  </si>
  <si>
    <t>Current cost per document processed</t>
  </si>
  <si>
    <t>Outsourced calculation</t>
  </si>
  <si>
    <t>Cost per outsourced processing of each document</t>
  </si>
  <si>
    <t>Annual cost of outsourcing</t>
  </si>
  <si>
    <t>Resume-to-application ratio:</t>
  </si>
  <si>
    <t>Current percent ratio of resumes to applications</t>
  </si>
  <si>
    <t>Current percent ratio of applications to resumes</t>
  </si>
  <si>
    <t>Potential savings opportunities for ARAP</t>
  </si>
  <si>
    <t>Staffing expenses</t>
  </si>
  <si>
    <t>Percentage of customers' internal processing costs typically reduced by using ARAP solutions</t>
  </si>
  <si>
    <t>Potential cost savings by applying customers' typical internal processing cost reduction to your organization's current document-processing costs</t>
  </si>
  <si>
    <t>Reduced annual costs:</t>
  </si>
  <si>
    <t>Potential savings:</t>
  </si>
  <si>
    <t>Annual cost for outside staffing firms</t>
  </si>
  <si>
    <t>Potential percentage of costs reduced by incorporating outside staffing firms into ARAP</t>
  </si>
  <si>
    <t>Advertising</t>
  </si>
  <si>
    <t>Annual cost for recruitment advertising</t>
  </si>
  <si>
    <t>Potential percentage of costs reduced by using ARAP solutions</t>
  </si>
  <si>
    <t>Annual costs of external job postings</t>
  </si>
  <si>
    <t>Special programs and career fairs</t>
  </si>
  <si>
    <t>Number of special recruitment programs attended annually by your organization</t>
  </si>
  <si>
    <t>Average cost of special recruitment programs</t>
  </si>
  <si>
    <t>Number of career fairs attended annually by your organization</t>
  </si>
  <si>
    <t>Average cost of career fairs</t>
  </si>
  <si>
    <t>Campus recruiting</t>
  </si>
  <si>
    <t>Annual costs of college recruitment</t>
  </si>
  <si>
    <t>Travel, lodging, meals, and other miscellaneous items</t>
  </si>
  <si>
    <t>Annual costs for travel, lodging, meals, and other miscellaneous items</t>
  </si>
  <si>
    <t>Potential percentage of costs reduced by using certain ARAP solutions</t>
  </si>
  <si>
    <t>Relocation</t>
  </si>
  <si>
    <t>Annual relocation costs</t>
  </si>
  <si>
    <t>Potential probability percentage of filling an opening with local candidate increased by using ARAP solutions</t>
  </si>
  <si>
    <t>Signing bonuses and perquisites</t>
  </si>
  <si>
    <t>Annual costs of signing bonuses and other perquisites</t>
  </si>
  <si>
    <t>Third-party vendor services</t>
  </si>
  <si>
    <t>Annual costs of third-party vendor services</t>
  </si>
  <si>
    <t>Potential percentage of costs reduced by integrating third-party vendors into ARAP</t>
  </si>
  <si>
    <t>Employee turnover</t>
  </si>
  <si>
    <t>Rate of employee turnover</t>
  </si>
  <si>
    <t xml:space="preserve">Potential number of replacement hires reduced by using ARAP solutions </t>
  </si>
  <si>
    <t>Potential percentage of number of replacement hires reduced by using ARAP solutions</t>
  </si>
  <si>
    <t>Opportunity costs of open positions</t>
  </si>
  <si>
    <t>Your organization's current open-position cycle time (in days)</t>
  </si>
  <si>
    <t>Average per-day opportunity costs</t>
  </si>
  <si>
    <t>Reducing the time to fill vacancies by:</t>
  </si>
  <si>
    <t>Potential savings in this fiscal year by reducing the time to fill vacancies</t>
  </si>
  <si>
    <t>Potential management time savings per hire by using ARAP solutions (in hours)</t>
  </si>
  <si>
    <t>Fully burdened hourly pay rate of managers during last fiscal year</t>
  </si>
  <si>
    <t>Potential savings (based on last fiscal year's total number of hires and last fiscal year's fully burdened hourly pay rate for managers) by reducing the time to fill vacancies</t>
  </si>
  <si>
    <t>Summary of potential savings opportunity</t>
  </si>
  <si>
    <t>During the first year of use of ARAP solutions, your organization could realize the following savings based on your cost survey results</t>
  </si>
  <si>
    <t>A breakdown of these cost savings is listed below:</t>
  </si>
  <si>
    <t>Savings category</t>
  </si>
  <si>
    <t>Potential savings</t>
  </si>
  <si>
    <t>Automated resume and application processing</t>
  </si>
  <si>
    <t>Recruitment advertising</t>
  </si>
  <si>
    <t>Special recruitment programs</t>
  </si>
  <si>
    <t>External job postings</t>
  </si>
  <si>
    <t>College recruitment</t>
  </si>
  <si>
    <t>Travel, lodging, meals, and other items</t>
  </si>
  <si>
    <t>Turnover</t>
  </si>
  <si>
    <t>Subtotal</t>
  </si>
  <si>
    <t>Add opportunity costs:</t>
  </si>
  <si>
    <t>Opportunity costs of open positions:</t>
  </si>
  <si>
    <t>TOTAL OPPORTUNITY FOR SAVINGS</t>
  </si>
  <si>
    <t>Exempt:</t>
  </si>
  <si>
    <t>Nonexempt:</t>
  </si>
  <si>
    <t>1.</t>
  </si>
  <si>
    <t>2.</t>
  </si>
  <si>
    <t>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</si>
</sst>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_);[Red]\(&quot;$&quot;#,##0.00\)"/>
    <numFmt numFmtId="165" formatCode="_(* #,##0.00_);_(* \(#,##0.00\);_(* &quot;-&quot;??_);_(@_)"/>
  </numFmts>
  <fonts count="7" x14ac:knownFonts="1">
    <font>
      <sz val="10"/>
      <color theme="1"/>
      <name val="Sylfaen"/>
      <family val="1"/>
      <scheme val="minor"/>
    </font>
    <font>
      <sz val="10"/>
      <color theme="1"/>
      <name val="Arial"/>
      <family val="2"/>
    </font>
    <font>
      <sz val="10"/>
      <color theme="1"/>
      <name val="Sylfaen"/>
      <family val="1"/>
      <scheme val="minor"/>
    </font>
    <font>
      <sz val="16"/>
      <color theme="3"/>
      <name val="Sylfaen"/>
      <family val="2"/>
      <scheme val="major"/>
    </font>
    <font>
      <sz val="36"/>
      <color theme="2"/>
      <name val="Sylfaen"/>
      <family val="2"/>
      <scheme val="major"/>
    </font>
    <font>
      <sz val="14"/>
      <color theme="3"/>
      <name val="Sylfaen"/>
      <family val="2"/>
      <scheme val="major"/>
    </font>
    <font>
      <sz val="12"/>
      <color theme="3"/>
      <name val="Sylfaen"/>
      <family val="2"/>
      <scheme val="major"/>
    </font>
  </fonts>
  <fills count="5">
    <fill>
      <patternFill patternType="none"/>
    </fill>
    <fill>
      <patternFill patternType="gray125"/>
    </fill>
    <fill>
      <patternFill patternType="solid">
        <fgColor theme="5" tint="-0.24994659260841701"/>
        <bgColor indexed="64"/>
      </patternFill>
    </fill>
    <fill>
      <patternFill patternType="solid">
        <fgColor theme="2" tint="-9.9948118533890809E-2"/>
        <bgColor indexed="64"/>
      </patternFill>
    </fill>
    <fill>
      <patternFill patternType="solid">
        <fgColor theme="0" tint="-4.9989318521683403E-2"/>
        <bgColor indexed="64"/>
      </patternFill>
    </fill>
  </fills>
  <borders count="20">
    <border>
      <left/>
      <right/>
      <top/>
      <bottom/>
      <diagonal/>
    </border>
    <border>
      <left/>
      <right/>
      <top/>
      <bottom style="thin">
        <color theme="1" tint="0.499984740745262"/>
      </bottom>
      <diagonal/>
    </border>
    <border>
      <left style="thin">
        <color theme="1" tint="0.499984740745262"/>
      </left>
      <right/>
      <top style="thin">
        <color theme="1" tint="0.499984740745262"/>
      </top>
      <bottom style="hair">
        <color theme="1" tint="0.499984740745262"/>
      </bottom>
      <diagonal/>
    </border>
    <border>
      <left/>
      <right/>
      <top style="thin">
        <color theme="1" tint="0.499984740745262"/>
      </top>
      <bottom style="hair">
        <color theme="1" tint="0.499984740745262"/>
      </bottom>
      <diagonal/>
    </border>
    <border>
      <left style="thin">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style="thin">
        <color theme="1" tint="0.499984740745262"/>
      </left>
      <right/>
      <top style="hair">
        <color theme="1" tint="0.499984740745262"/>
      </top>
      <bottom style="thin">
        <color theme="1" tint="0.499984740745262"/>
      </bottom>
      <diagonal/>
    </border>
    <border>
      <left/>
      <right/>
      <top style="hair">
        <color theme="1" tint="0.499984740745262"/>
      </top>
      <bottom style="thin">
        <color theme="1" tint="0.499984740745262"/>
      </bottom>
      <diagonal/>
    </border>
    <border>
      <left style="dotted">
        <color theme="1" tint="0.499984740745262"/>
      </left>
      <right style="thin">
        <color theme="1" tint="0.499984740745262"/>
      </right>
      <top style="thin">
        <color theme="1" tint="0.499984740745262"/>
      </top>
      <bottom style="hair">
        <color theme="1" tint="0.499984740745262"/>
      </bottom>
      <diagonal/>
    </border>
    <border>
      <left style="dotted">
        <color theme="1" tint="0.499984740745262"/>
      </left>
      <right style="thin">
        <color theme="1" tint="0.499984740745262"/>
      </right>
      <top style="hair">
        <color theme="1" tint="0.499984740745262"/>
      </top>
      <bottom style="hair">
        <color theme="1" tint="0.499984740745262"/>
      </bottom>
      <diagonal/>
    </border>
    <border>
      <left style="dotted">
        <color theme="1" tint="0.499984740745262"/>
      </left>
      <right style="thin">
        <color theme="1" tint="0.499984740745262"/>
      </right>
      <top style="hair">
        <color theme="1" tint="0.499984740745262"/>
      </top>
      <bottom style="thin">
        <color theme="1" tint="0.499984740745262"/>
      </bottom>
      <diagonal/>
    </border>
    <border>
      <left style="dotted">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hair">
        <color theme="1" tint="0.499984740745262"/>
      </top>
      <bottom/>
      <diagonal/>
    </border>
    <border>
      <left/>
      <right/>
      <top style="hair">
        <color theme="1" tint="0.499984740745262"/>
      </top>
      <bottom/>
      <diagonal/>
    </border>
    <border>
      <left style="dotted">
        <color theme="1" tint="0.499984740745262"/>
      </left>
      <right style="thin">
        <color theme="1" tint="0.499984740745262"/>
      </right>
      <top style="hair">
        <color theme="1" tint="0.499984740745262"/>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style="dotted">
        <color theme="1" tint="0.499984740745262"/>
      </left>
      <right style="thin">
        <color theme="1" tint="0.499984740745262"/>
      </right>
      <top style="thin">
        <color theme="1" tint="0.499984740745262"/>
      </top>
      <bottom/>
      <diagonal/>
    </border>
  </borders>
  <cellStyleXfs count="6">
    <xf numFmtId="0" fontId="0" fillId="0" borderId="0">
      <alignment vertical="center"/>
    </xf>
    <xf numFmtId="0" fontId="4" fillId="2" borderId="0" applyNumberFormat="0" applyProtection="0"/>
    <xf numFmtId="0" fontId="3" fillId="3" borderId="0" applyNumberFormat="0" applyProtection="0">
      <alignment vertical="center"/>
    </xf>
    <xf numFmtId="0" fontId="5" fillId="0" borderId="0" applyNumberFormat="0" applyFill="0" applyProtection="0">
      <alignment vertical="center"/>
    </xf>
    <xf numFmtId="0" fontId="6" fillId="0" borderId="1" applyNumberFormat="0" applyFill="0" applyProtection="0">
      <alignment vertical="center"/>
    </xf>
    <xf numFmtId="165" fontId="2" fillId="0" borderId="0" applyFont="0" applyFill="0" applyBorder="0" applyAlignment="0" applyProtection="0"/>
  </cellStyleXfs>
  <cellXfs count="79">
    <xf numFmtId="0" fontId="0" fillId="0" borderId="0" xfId="0">
      <alignment vertical="center"/>
    </xf>
    <xf numFmtId="0" fontId="1" fillId="0" borderId="0" xfId="0" applyFont="1">
      <alignment vertical="center"/>
    </xf>
    <xf numFmtId="0" fontId="1" fillId="0" borderId="0" xfId="0" applyNumberFormat="1" applyFont="1" applyBorder="1" applyAlignment="1"/>
    <xf numFmtId="0" fontId="1" fillId="0" borderId="0" xfId="0" applyNumberFormat="1" applyFont="1" applyBorder="1" applyAlignment="1">
      <alignment horizontal="right"/>
    </xf>
    <xf numFmtId="0" fontId="4" fillId="2" borderId="0" xfId="1" applyNumberFormat="1" applyAlignment="1"/>
    <xf numFmtId="0" fontId="3" fillId="3" borderId="0" xfId="2" applyNumberFormat="1" applyAlignment="1"/>
    <xf numFmtId="14" fontId="5" fillId="0" borderId="0" xfId="3" applyNumberFormat="1" applyAlignment="1">
      <alignment horizontal="left"/>
    </xf>
    <xf numFmtId="0" fontId="3" fillId="3" borderId="0" xfId="2" applyNumberFormat="1">
      <alignment vertical="center"/>
    </xf>
    <xf numFmtId="0" fontId="0" fillId="0" borderId="3" xfId="0" applyBorder="1">
      <alignment vertical="center"/>
    </xf>
    <xf numFmtId="0" fontId="0" fillId="0" borderId="5" xfId="0" applyBorder="1">
      <alignment vertical="center"/>
    </xf>
    <xf numFmtId="0" fontId="0" fillId="0" borderId="7" xfId="0" applyBorder="1">
      <alignment vertical="center"/>
    </xf>
    <xf numFmtId="0" fontId="6" fillId="0" borderId="1" xfId="4">
      <alignment vertical="center"/>
    </xf>
    <xf numFmtId="0" fontId="0" fillId="0" borderId="0" xfId="0" applyAlignment="1">
      <alignment vertical="center" wrapText="1"/>
    </xf>
    <xf numFmtId="0" fontId="6" fillId="0" borderId="1" xfId="4"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0" borderId="5" xfId="0" applyBorder="1" applyAlignment="1">
      <alignment horizontal="left" vertical="center"/>
    </xf>
    <xf numFmtId="0" fontId="0" fillId="0" borderId="5" xfId="0" applyBorder="1" applyAlignment="1">
      <alignment horizontal="right" vertical="center"/>
    </xf>
    <xf numFmtId="0" fontId="4" fillId="2" borderId="0" xfId="1" applyNumberFormat="1" applyAlignment="1">
      <alignment horizontal="right"/>
    </xf>
    <xf numFmtId="0" fontId="3" fillId="3" borderId="0" xfId="2" applyNumberFormat="1" applyAlignment="1">
      <alignment horizontal="right"/>
    </xf>
    <xf numFmtId="14" fontId="5" fillId="0" borderId="0" xfId="3" applyNumberFormat="1" applyAlignment="1">
      <alignment horizontal="right"/>
    </xf>
    <xf numFmtId="0" fontId="3" fillId="3" borderId="0" xfId="2" applyNumberFormat="1" applyAlignment="1">
      <alignment horizontal="right" vertical="center"/>
    </xf>
    <xf numFmtId="0" fontId="6" fillId="0" borderId="1" xfId="4" applyAlignment="1">
      <alignment horizontal="right" vertical="center"/>
    </xf>
    <xf numFmtId="0" fontId="0" fillId="0" borderId="8" xfId="0" applyBorder="1" applyAlignment="1">
      <alignment horizontal="right"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0" borderId="0" xfId="0" applyAlignment="1">
      <alignment horizontal="right" vertical="center"/>
    </xf>
    <xf numFmtId="9" fontId="0" fillId="0" borderId="9" xfId="0" applyNumberFormat="1" applyBorder="1" applyAlignment="1">
      <alignment horizontal="right" vertical="center"/>
    </xf>
    <xf numFmtId="9" fontId="0" fillId="0" borderId="10" xfId="0" applyNumberFormat="1" applyBorder="1" applyAlignment="1">
      <alignment horizontal="right" vertical="center"/>
    </xf>
    <xf numFmtId="0" fontId="0" fillId="0" borderId="12" xfId="0" applyBorder="1" applyAlignment="1">
      <alignment vertical="center" wrapText="1"/>
    </xf>
    <xf numFmtId="0" fontId="0" fillId="0" borderId="13" xfId="0" applyBorder="1">
      <alignment vertical="center"/>
    </xf>
    <xf numFmtId="9" fontId="0" fillId="0" borderId="14" xfId="0" applyNumberFormat="1" applyBorder="1" applyAlignment="1">
      <alignment horizontal="right" vertical="center"/>
    </xf>
    <xf numFmtId="0" fontId="0" fillId="0" borderId="14" xfId="0" applyBorder="1" applyAlignment="1">
      <alignment horizontal="right" vertical="center"/>
    </xf>
    <xf numFmtId="9" fontId="0" fillId="0" borderId="8" xfId="0" applyNumberFormat="1" applyBorder="1" applyAlignment="1">
      <alignment horizontal="right" vertical="center"/>
    </xf>
    <xf numFmtId="164" fontId="0" fillId="0" borderId="9" xfId="0" applyNumberFormat="1" applyBorder="1" applyAlignment="1">
      <alignment horizontal="right" vertical="center"/>
    </xf>
    <xf numFmtId="164" fontId="0" fillId="0" borderId="10" xfId="0" applyNumberFormat="1" applyBorder="1" applyAlignment="1">
      <alignment horizontal="right" vertical="center"/>
    </xf>
    <xf numFmtId="164" fontId="0" fillId="0" borderId="8" xfId="0" applyNumberFormat="1" applyBorder="1" applyAlignment="1">
      <alignment horizontal="right" vertical="center"/>
    </xf>
    <xf numFmtId="3" fontId="0" fillId="0" borderId="9" xfId="0" applyNumberFormat="1" applyBorder="1" applyAlignment="1">
      <alignment horizontal="right" vertical="center"/>
    </xf>
    <xf numFmtId="165" fontId="0" fillId="0" borderId="9" xfId="5" applyFont="1" applyBorder="1" applyAlignment="1">
      <alignment horizontal="right" vertical="center"/>
    </xf>
    <xf numFmtId="0" fontId="0" fillId="0" borderId="6" xfId="0" applyFont="1" applyBorder="1" applyAlignment="1">
      <alignment vertical="center" wrapText="1"/>
    </xf>
    <xf numFmtId="0" fontId="0" fillId="0" borderId="7" xfId="0" applyFont="1" applyBorder="1">
      <alignment vertical="center"/>
    </xf>
    <xf numFmtId="164" fontId="0" fillId="0" borderId="10" xfId="0" applyNumberFormat="1" applyFont="1" applyBorder="1" applyAlignment="1">
      <alignment horizontal="right" vertical="center"/>
    </xf>
    <xf numFmtId="0" fontId="0" fillId="0" borderId="3" xfId="0" applyBorder="1" applyAlignment="1">
      <alignment horizontal="right" vertical="center"/>
    </xf>
    <xf numFmtId="0" fontId="0" fillId="0" borderId="5" xfId="0" applyFont="1" applyBorder="1" applyAlignment="1">
      <alignment horizontal="right" vertical="center"/>
    </xf>
    <xf numFmtId="0" fontId="0" fillId="0" borderId="18" xfId="0" applyBorder="1">
      <alignment vertical="center"/>
    </xf>
    <xf numFmtId="0" fontId="5" fillId="0" borderId="0" xfId="3">
      <alignment vertical="center"/>
    </xf>
    <xf numFmtId="0" fontId="0" fillId="0" borderId="18" xfId="0" applyBorder="1" applyAlignment="1">
      <alignment vertical="center" wrapText="1"/>
    </xf>
    <xf numFmtId="164" fontId="0" fillId="0" borderId="18" xfId="0" applyNumberFormat="1" applyBorder="1" applyAlignment="1">
      <alignment horizontal="right" vertical="center"/>
    </xf>
    <xf numFmtId="0" fontId="0" fillId="4" borderId="6" xfId="0" applyFont="1" applyFill="1" applyBorder="1" applyAlignment="1">
      <alignment vertical="center" wrapText="1"/>
    </xf>
    <xf numFmtId="0" fontId="0" fillId="4" borderId="7" xfId="0" applyFont="1" applyFill="1" applyBorder="1">
      <alignment vertical="center"/>
    </xf>
    <xf numFmtId="164" fontId="0" fillId="4" borderId="10" xfId="0" applyNumberFormat="1" applyFont="1" applyFill="1" applyBorder="1" applyAlignment="1">
      <alignment horizontal="right" vertical="center"/>
    </xf>
    <xf numFmtId="0" fontId="0" fillId="4" borderId="6" xfId="0" applyFill="1" applyBorder="1" applyAlignment="1">
      <alignment vertical="center" wrapText="1"/>
    </xf>
    <xf numFmtId="0" fontId="0" fillId="4" borderId="7" xfId="0" applyFill="1" applyBorder="1">
      <alignment vertical="center"/>
    </xf>
    <xf numFmtId="0" fontId="0" fillId="4" borderId="7" xfId="0" applyFill="1" applyBorder="1" applyAlignment="1">
      <alignment horizontal="right" vertical="center"/>
    </xf>
    <xf numFmtId="164" fontId="0" fillId="4" borderId="10" xfId="0" applyNumberFormat="1" applyFill="1" applyBorder="1" applyAlignment="1">
      <alignment horizontal="right" vertical="center"/>
    </xf>
    <xf numFmtId="0" fontId="0" fillId="4" borderId="4" xfId="0" applyFill="1" applyBorder="1" applyAlignment="1">
      <alignment vertical="center" wrapText="1"/>
    </xf>
    <xf numFmtId="0" fontId="0" fillId="4" borderId="5" xfId="0" applyFill="1" applyBorder="1">
      <alignment vertical="center"/>
    </xf>
    <xf numFmtId="0" fontId="0" fillId="4" borderId="5" xfId="0" applyFill="1" applyBorder="1" applyAlignment="1">
      <alignment horizontal="right" vertical="center"/>
    </xf>
    <xf numFmtId="164" fontId="0" fillId="4" borderId="9" xfId="0" applyNumberFormat="1" applyFill="1" applyBorder="1" applyAlignment="1">
      <alignment horizontal="right" vertical="center"/>
    </xf>
    <xf numFmtId="0" fontId="0" fillId="4" borderId="5" xfId="0" applyFont="1" applyFill="1" applyBorder="1" applyAlignment="1">
      <alignment horizontal="right" vertical="center"/>
    </xf>
    <xf numFmtId="0" fontId="0" fillId="4" borderId="7" xfId="0" applyFont="1" applyFill="1" applyBorder="1" applyAlignment="1">
      <alignment horizontal="right" vertical="center"/>
    </xf>
    <xf numFmtId="0" fontId="0" fillId="4" borderId="17" xfId="0" applyFill="1" applyBorder="1" applyAlignment="1">
      <alignment vertical="center" wrapText="1"/>
    </xf>
    <xf numFmtId="0" fontId="0" fillId="4" borderId="18" xfId="0" applyFill="1" applyBorder="1">
      <alignment vertical="center"/>
    </xf>
    <xf numFmtId="164" fontId="0" fillId="4" borderId="19" xfId="0" applyNumberFormat="1" applyFill="1" applyBorder="1" applyAlignment="1">
      <alignment horizontal="right" vertical="center"/>
    </xf>
    <xf numFmtId="0" fontId="3" fillId="3" borderId="0" xfId="2">
      <alignment vertical="center"/>
    </xf>
    <xf numFmtId="0" fontId="0" fillId="4" borderId="15" xfId="0" applyFill="1" applyBorder="1" applyAlignment="1">
      <alignment vertical="center" wrapText="1"/>
    </xf>
    <xf numFmtId="0" fontId="0" fillId="4" borderId="16" xfId="0" applyFill="1" applyBorder="1">
      <alignment vertical="center"/>
    </xf>
    <xf numFmtId="164" fontId="0" fillId="4" borderId="11" xfId="0" applyNumberFormat="1" applyFill="1" applyBorder="1" applyAlignment="1">
      <alignment horizontal="right" vertical="center"/>
    </xf>
    <xf numFmtId="0" fontId="0" fillId="0" borderId="4" xfId="0" quotePrefix="1" applyBorder="1" applyAlignment="1">
      <alignment vertical="center" wrapText="1"/>
    </xf>
    <xf numFmtId="0" fontId="0" fillId="4" borderId="2" xfId="0" applyFill="1" applyBorder="1" applyAlignment="1">
      <alignment vertical="center" wrapText="1"/>
    </xf>
    <xf numFmtId="0" fontId="0" fillId="4" borderId="3" xfId="0" applyFill="1" applyBorder="1">
      <alignment vertical="center"/>
    </xf>
    <xf numFmtId="9" fontId="0" fillId="4" borderId="9" xfId="0" applyNumberFormat="1" applyFill="1" applyBorder="1" applyAlignment="1">
      <alignment horizontal="right" vertical="center"/>
    </xf>
    <xf numFmtId="0" fontId="0" fillId="4" borderId="12" xfId="0" applyFill="1" applyBorder="1" applyAlignment="1">
      <alignment vertical="center" wrapText="1"/>
    </xf>
    <xf numFmtId="0" fontId="0" fillId="4" borderId="13" xfId="0" applyFill="1" applyBorder="1">
      <alignment vertical="center"/>
    </xf>
    <xf numFmtId="9" fontId="0" fillId="4" borderId="14" xfId="0" applyNumberFormat="1" applyFill="1" applyBorder="1" applyAlignment="1">
      <alignment horizontal="right" vertical="center"/>
    </xf>
    <xf numFmtId="9" fontId="0" fillId="4" borderId="11" xfId="0" applyNumberFormat="1" applyFill="1" applyBorder="1" applyAlignment="1">
      <alignment horizontal="right" vertical="center"/>
    </xf>
    <xf numFmtId="9" fontId="0" fillId="4" borderId="8" xfId="0" applyNumberFormat="1" applyFill="1" applyBorder="1" applyAlignment="1">
      <alignment horizontal="right" vertical="center"/>
    </xf>
    <xf numFmtId="164" fontId="3" fillId="3" borderId="0" xfId="2" applyNumberFormat="1" applyAlignment="1">
      <alignment horizontal="right" vertical="center"/>
    </xf>
  </cellXfs>
  <cellStyles count="6">
    <cellStyle name="Comma" xfId="5" builtinId="3"/>
    <cellStyle name="Heading 1" xfId="1" builtinId="16" customBuiltin="1"/>
    <cellStyle name="Heading 2" xfId="2" builtinId="17" customBuiltin="1"/>
    <cellStyle name="Heading 3" xfId="3" builtinId="18" customBuiltin="1"/>
    <cellStyle name="Heading 4" xfId="4" builtinId="19" customBuiltin="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ARAP Savings Calculator">
      <a:dk1>
        <a:srgbClr val="000000"/>
      </a:dk1>
      <a:lt1>
        <a:srgbClr val="FFFFFF"/>
      </a:lt1>
      <a:dk2>
        <a:srgbClr val="1E2E2F"/>
      </a:dk2>
      <a:lt2>
        <a:srgbClr val="DEDED4"/>
      </a:lt2>
      <a:accent1>
        <a:srgbClr val="E9755A"/>
      </a:accent1>
      <a:accent2>
        <a:srgbClr val="7AB6BA"/>
      </a:accent2>
      <a:accent3>
        <a:srgbClr val="7DB587"/>
      </a:accent3>
      <a:accent4>
        <a:srgbClr val="E6BF5E"/>
      </a:accent4>
      <a:accent5>
        <a:srgbClr val="E68F4D"/>
      </a:accent5>
      <a:accent6>
        <a:srgbClr val="C26B70"/>
      </a:accent6>
      <a:hlink>
        <a:srgbClr val="7AB6BA"/>
      </a:hlink>
      <a:folHlink>
        <a:srgbClr val="A68CB1"/>
      </a:folHlink>
    </a:clrScheme>
    <a:fontScheme name="ARAP Savings Calculator">
      <a:majorFont>
        <a:latin typeface="Sylfaen"/>
        <a:ea typeface=""/>
        <a:cs typeface=""/>
      </a:majorFont>
      <a:minorFont>
        <a:latin typeface="Sylfaen"/>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pageSetUpPr autoPageBreaks="0" fitToPage="1"/>
  </sheetPr>
  <dimension ref="B1:G205"/>
  <sheetViews>
    <sheetView showGridLines="0" tabSelected="1" workbookViewId="0">
      <selection activeCell="B8" sqref="B8"/>
    </sheetView>
  </sheetViews>
  <sheetFormatPr defaultRowHeight="15" x14ac:dyDescent="0.3"/>
  <cols>
    <col min="1" max="1" width="1.7109375" customWidth="1"/>
    <col min="2" max="2" width="67.7109375" customWidth="1"/>
    <col min="3" max="3" width="9.85546875" customWidth="1"/>
    <col min="4" max="4" width="6.7109375" customWidth="1"/>
    <col min="5" max="5" width="11.28515625" customWidth="1"/>
    <col min="6" max="6" width="13.140625" customWidth="1"/>
    <col min="7" max="7" width="19.28515625" style="27" customWidth="1"/>
    <col min="8" max="8" width="7.42578125" customWidth="1"/>
    <col min="9" max="9" width="53.7109375" customWidth="1"/>
    <col min="10" max="10" width="10.140625" customWidth="1"/>
  </cols>
  <sheetData>
    <row r="1" spans="2:7" s="1" customFormat="1" ht="47.25" x14ac:dyDescent="0.75">
      <c r="B1" s="4" t="s">
        <v>0</v>
      </c>
      <c r="C1" s="4"/>
      <c r="D1" s="4"/>
      <c r="E1" s="4"/>
      <c r="F1" s="4"/>
      <c r="G1" s="19"/>
    </row>
    <row r="2" spans="2:7" s="1" customFormat="1" ht="21" x14ac:dyDescent="0.35">
      <c r="B2" s="5" t="s">
        <v>1</v>
      </c>
      <c r="C2" s="5"/>
      <c r="D2" s="5"/>
      <c r="E2" s="5"/>
      <c r="F2" s="5"/>
      <c r="G2" s="20"/>
    </row>
    <row r="3" spans="2:7" s="1" customFormat="1" ht="19.5" x14ac:dyDescent="0.35">
      <c r="B3" s="6" t="s">
        <v>2</v>
      </c>
      <c r="C3" s="6"/>
      <c r="D3" s="6"/>
      <c r="E3" s="6"/>
      <c r="F3" s="6"/>
      <c r="G3" s="21"/>
    </row>
    <row r="4" spans="2:7" s="1" customFormat="1" ht="12.75" x14ac:dyDescent="0.2">
      <c r="B4" s="2"/>
      <c r="C4" s="2"/>
      <c r="D4" s="2"/>
      <c r="E4" s="2"/>
      <c r="F4" s="2"/>
      <c r="G4" s="3"/>
    </row>
    <row r="5" spans="2:7" s="1" customFormat="1" ht="12.75" x14ac:dyDescent="0.2">
      <c r="B5" s="2"/>
      <c r="C5" s="2"/>
      <c r="D5" s="2"/>
      <c r="E5" s="2"/>
      <c r="F5" s="2"/>
      <c r="G5" s="3"/>
    </row>
    <row r="6" spans="2:7" s="1" customFormat="1" ht="21" x14ac:dyDescent="0.3">
      <c r="B6" s="7" t="s">
        <v>3</v>
      </c>
      <c r="C6" s="7"/>
      <c r="D6" s="7"/>
      <c r="E6" s="7"/>
      <c r="F6" s="7"/>
      <c r="G6" s="22"/>
    </row>
    <row r="8" spans="2:7" ht="18" x14ac:dyDescent="0.3">
      <c r="B8" s="11" t="s">
        <v>4</v>
      </c>
      <c r="C8" s="11"/>
      <c r="D8" s="11"/>
      <c r="E8" s="11"/>
      <c r="F8" s="11"/>
      <c r="G8" s="23"/>
    </row>
    <row r="9" spans="2:7" x14ac:dyDescent="0.3">
      <c r="B9" s="14" t="s">
        <v>5</v>
      </c>
      <c r="C9" s="8"/>
      <c r="D9" s="8"/>
      <c r="E9" s="8"/>
      <c r="F9" s="8"/>
      <c r="G9" s="24">
        <v>20000</v>
      </c>
    </row>
    <row r="10" spans="2:7" x14ac:dyDescent="0.3">
      <c r="B10" s="15" t="s">
        <v>6</v>
      </c>
      <c r="C10" s="18" t="s">
        <v>146</v>
      </c>
      <c r="D10" s="17">
        <v>1100</v>
      </c>
      <c r="E10" s="18" t="s">
        <v>147</v>
      </c>
      <c r="F10" s="17">
        <v>350</v>
      </c>
      <c r="G10" s="25">
        <f>D10+F10</f>
        <v>1450</v>
      </c>
    </row>
    <row r="11" spans="2:7" x14ac:dyDescent="0.3">
      <c r="B11" s="15" t="s">
        <v>7</v>
      </c>
      <c r="C11" s="18" t="s">
        <v>146</v>
      </c>
      <c r="D11" s="17">
        <v>1150</v>
      </c>
      <c r="E11" s="18" t="s">
        <v>147</v>
      </c>
      <c r="F11" s="17">
        <v>450</v>
      </c>
      <c r="G11" s="25">
        <f>D11+F11</f>
        <v>1600</v>
      </c>
    </row>
    <row r="12" spans="2:7" x14ac:dyDescent="0.3">
      <c r="B12" s="15" t="s">
        <v>8</v>
      </c>
      <c r="C12" s="18" t="s">
        <v>146</v>
      </c>
      <c r="D12" s="17">
        <v>1200</v>
      </c>
      <c r="E12" s="18" t="s">
        <v>147</v>
      </c>
      <c r="F12" s="17">
        <v>600</v>
      </c>
      <c r="G12" s="25">
        <f>D12+F12</f>
        <v>1800</v>
      </c>
    </row>
    <row r="13" spans="2:7" ht="30" x14ac:dyDescent="0.3">
      <c r="B13" s="15" t="s">
        <v>9</v>
      </c>
      <c r="C13" s="9"/>
      <c r="D13" s="9"/>
      <c r="E13" s="9"/>
      <c r="F13" s="9"/>
      <c r="G13" s="25" t="s">
        <v>10</v>
      </c>
    </row>
    <row r="14" spans="2:7" x14ac:dyDescent="0.3">
      <c r="B14" s="15" t="s">
        <v>11</v>
      </c>
      <c r="C14" s="9"/>
      <c r="D14" s="9"/>
      <c r="E14" s="9"/>
      <c r="F14" s="9"/>
      <c r="G14" s="25">
        <v>64</v>
      </c>
    </row>
    <row r="15" spans="2:7" x14ac:dyDescent="0.3">
      <c r="B15" s="15" t="s">
        <v>12</v>
      </c>
      <c r="C15" s="9"/>
      <c r="D15" s="9"/>
      <c r="E15" s="9"/>
      <c r="F15" s="9"/>
      <c r="G15" s="25"/>
    </row>
    <row r="16" spans="2:7" ht="45" x14ac:dyDescent="0.3">
      <c r="B16" s="15" t="s">
        <v>13</v>
      </c>
      <c r="C16" s="9"/>
      <c r="D16" s="9"/>
      <c r="E16" s="9"/>
      <c r="F16" s="9"/>
      <c r="G16" s="25"/>
    </row>
    <row r="17" spans="2:7" x14ac:dyDescent="0.3">
      <c r="B17" s="15" t="s">
        <v>14</v>
      </c>
      <c r="C17" s="9"/>
      <c r="D17" s="9"/>
      <c r="E17" s="9"/>
      <c r="F17" s="9"/>
      <c r="G17" s="25">
        <v>50000</v>
      </c>
    </row>
    <row r="18" spans="2:7" x14ac:dyDescent="0.3">
      <c r="B18" s="30" t="s">
        <v>15</v>
      </c>
      <c r="C18" s="31"/>
      <c r="D18" s="31"/>
      <c r="E18" s="31"/>
      <c r="F18" s="31"/>
      <c r="G18" s="33">
        <v>50000</v>
      </c>
    </row>
    <row r="19" spans="2:7" ht="30" x14ac:dyDescent="0.3">
      <c r="B19" s="70" t="s">
        <v>16</v>
      </c>
      <c r="C19" s="71"/>
      <c r="D19" s="71"/>
      <c r="E19" s="71"/>
      <c r="F19" s="71"/>
      <c r="G19" s="77"/>
    </row>
    <row r="20" spans="2:7" x14ac:dyDescent="0.3">
      <c r="B20" s="56" t="s">
        <v>17</v>
      </c>
      <c r="C20" s="57"/>
      <c r="D20" s="57"/>
      <c r="E20" s="57"/>
      <c r="F20" s="57"/>
      <c r="G20" s="72">
        <v>0.1</v>
      </c>
    </row>
    <row r="21" spans="2:7" x14ac:dyDescent="0.3">
      <c r="B21" s="56" t="s">
        <v>18</v>
      </c>
      <c r="C21" s="57"/>
      <c r="D21" s="57"/>
      <c r="E21" s="57"/>
      <c r="F21" s="57"/>
      <c r="G21" s="72">
        <v>0.15</v>
      </c>
    </row>
    <row r="22" spans="2:7" x14ac:dyDescent="0.3">
      <c r="B22" s="56" t="s">
        <v>19</v>
      </c>
      <c r="C22" s="57"/>
      <c r="D22" s="57"/>
      <c r="E22" s="57"/>
      <c r="F22" s="57"/>
      <c r="G22" s="72">
        <v>0.15</v>
      </c>
    </row>
    <row r="23" spans="2:7" x14ac:dyDescent="0.3">
      <c r="B23" s="56" t="s">
        <v>20</v>
      </c>
      <c r="C23" s="57"/>
      <c r="D23" s="57"/>
      <c r="E23" s="57"/>
      <c r="F23" s="57"/>
      <c r="G23" s="72">
        <v>0.1</v>
      </c>
    </row>
    <row r="24" spans="2:7" x14ac:dyDescent="0.3">
      <c r="B24" s="56" t="s">
        <v>21</v>
      </c>
      <c r="C24" s="57"/>
      <c r="D24" s="57"/>
      <c r="E24" s="57"/>
      <c r="F24" s="57"/>
      <c r="G24" s="72">
        <v>0.15</v>
      </c>
    </row>
    <row r="25" spans="2:7" x14ac:dyDescent="0.3">
      <c r="B25" s="56" t="s">
        <v>22</v>
      </c>
      <c r="C25" s="57"/>
      <c r="D25" s="57"/>
      <c r="E25" s="57"/>
      <c r="F25" s="57"/>
      <c r="G25" s="72">
        <v>0.25</v>
      </c>
    </row>
    <row r="26" spans="2:7" x14ac:dyDescent="0.3">
      <c r="B26" s="73" t="s">
        <v>23</v>
      </c>
      <c r="C26" s="74"/>
      <c r="D26" s="74"/>
      <c r="E26" s="74"/>
      <c r="F26" s="74"/>
      <c r="G26" s="75">
        <v>0.1</v>
      </c>
    </row>
    <row r="27" spans="2:7" x14ac:dyDescent="0.3">
      <c r="B27" s="14" t="s">
        <v>24</v>
      </c>
      <c r="C27" s="8"/>
      <c r="D27" s="8"/>
      <c r="E27" s="8"/>
      <c r="F27" s="8"/>
      <c r="G27" s="24"/>
    </row>
    <row r="28" spans="2:7" x14ac:dyDescent="0.3">
      <c r="B28" s="15" t="s">
        <v>25</v>
      </c>
      <c r="C28" s="9"/>
      <c r="D28" s="9"/>
      <c r="E28" s="9"/>
      <c r="F28" s="9"/>
      <c r="G28" s="28">
        <v>0.5</v>
      </c>
    </row>
    <row r="29" spans="2:7" x14ac:dyDescent="0.3">
      <c r="B29" s="15" t="s">
        <v>26</v>
      </c>
      <c r="C29" s="9"/>
      <c r="D29" s="9"/>
      <c r="E29" s="9"/>
      <c r="F29" s="9"/>
      <c r="G29" s="28">
        <v>0.25</v>
      </c>
    </row>
    <row r="30" spans="2:7" x14ac:dyDescent="0.3">
      <c r="B30" s="30" t="s">
        <v>27</v>
      </c>
      <c r="C30" s="31"/>
      <c r="D30" s="31"/>
      <c r="E30" s="31"/>
      <c r="F30" s="31"/>
      <c r="G30" s="32">
        <v>0.25</v>
      </c>
    </row>
    <row r="31" spans="2:7" x14ac:dyDescent="0.3">
      <c r="B31" s="66" t="s">
        <v>28</v>
      </c>
      <c r="C31" s="67"/>
      <c r="D31" s="67"/>
      <c r="E31" s="67"/>
      <c r="F31" s="67"/>
      <c r="G31" s="76">
        <v>0.05</v>
      </c>
    </row>
    <row r="32" spans="2:7" x14ac:dyDescent="0.3">
      <c r="B32" s="12"/>
    </row>
    <row r="33" spans="2:7" ht="18" x14ac:dyDescent="0.3">
      <c r="B33" s="13" t="s">
        <v>29</v>
      </c>
      <c r="C33" s="11"/>
      <c r="D33" s="11"/>
      <c r="E33" s="11"/>
      <c r="F33" s="11"/>
      <c r="G33" s="23"/>
    </row>
    <row r="34" spans="2:7" ht="30" x14ac:dyDescent="0.3">
      <c r="B34" s="14" t="s">
        <v>30</v>
      </c>
      <c r="C34" s="8"/>
      <c r="D34" s="8"/>
      <c r="E34" s="8"/>
      <c r="F34" s="8"/>
      <c r="G34" s="24">
        <v>7</v>
      </c>
    </row>
    <row r="35" spans="2:7" ht="30" x14ac:dyDescent="0.3">
      <c r="B35" s="15" t="s">
        <v>31</v>
      </c>
      <c r="C35" s="9"/>
      <c r="D35" s="9"/>
      <c r="E35" s="9"/>
      <c r="F35" s="9"/>
      <c r="G35" s="25">
        <v>30</v>
      </c>
    </row>
    <row r="36" spans="2:7" ht="30" x14ac:dyDescent="0.3">
      <c r="B36" s="15" t="s">
        <v>32</v>
      </c>
      <c r="C36" s="9"/>
      <c r="D36" s="9"/>
      <c r="E36" s="9"/>
      <c r="F36" s="9"/>
      <c r="G36" s="25">
        <v>75</v>
      </c>
    </row>
    <row r="37" spans="2:7" x14ac:dyDescent="0.3">
      <c r="B37" s="15" t="s">
        <v>33</v>
      </c>
      <c r="C37" s="9"/>
      <c r="D37" s="9"/>
      <c r="E37" s="9"/>
      <c r="F37" s="9"/>
      <c r="G37" s="25">
        <f>((365-10-104-10)*6)</f>
        <v>1446</v>
      </c>
    </row>
    <row r="38" spans="2:7" ht="30" x14ac:dyDescent="0.3">
      <c r="B38" s="15" t="s">
        <v>34</v>
      </c>
      <c r="C38" s="9"/>
      <c r="D38" s="9"/>
      <c r="E38" s="9"/>
      <c r="F38" s="9"/>
      <c r="G38" s="35">
        <v>0</v>
      </c>
    </row>
    <row r="39" spans="2:7" x14ac:dyDescent="0.3">
      <c r="B39" s="15" t="s">
        <v>35</v>
      </c>
      <c r="C39" s="9"/>
      <c r="D39" s="9"/>
      <c r="E39" s="9"/>
      <c r="F39" s="9"/>
      <c r="G39" s="35"/>
    </row>
    <row r="40" spans="2:7" x14ac:dyDescent="0.3">
      <c r="B40" s="15" t="s">
        <v>36</v>
      </c>
      <c r="C40" s="9"/>
      <c r="D40" s="9"/>
      <c r="E40" s="9"/>
      <c r="F40" s="9"/>
      <c r="G40" s="35">
        <v>125000</v>
      </c>
    </row>
    <row r="41" spans="2:7" x14ac:dyDescent="0.3">
      <c r="B41" s="15" t="s">
        <v>37</v>
      </c>
      <c r="C41" s="9"/>
      <c r="D41" s="9"/>
      <c r="E41" s="9"/>
      <c r="F41" s="9"/>
      <c r="G41" s="35">
        <v>100000</v>
      </c>
    </row>
    <row r="42" spans="2:7" x14ac:dyDescent="0.3">
      <c r="B42" s="16" t="s">
        <v>38</v>
      </c>
      <c r="C42" s="10"/>
      <c r="D42" s="10"/>
      <c r="E42" s="10"/>
      <c r="F42" s="10"/>
      <c r="G42" s="36">
        <v>100000</v>
      </c>
    </row>
    <row r="43" spans="2:7" x14ac:dyDescent="0.3">
      <c r="B43" s="12"/>
    </row>
    <row r="44" spans="2:7" ht="18" x14ac:dyDescent="0.3">
      <c r="B44" s="13" t="s">
        <v>39</v>
      </c>
      <c r="C44" s="11"/>
      <c r="D44" s="11"/>
      <c r="E44" s="11"/>
      <c r="F44" s="11"/>
      <c r="G44" s="23"/>
    </row>
    <row r="45" spans="2:7" x14ac:dyDescent="0.3">
      <c r="B45" s="14" t="s">
        <v>40</v>
      </c>
      <c r="C45" s="8"/>
      <c r="D45" s="8"/>
      <c r="E45" s="8"/>
      <c r="F45" s="8"/>
      <c r="G45" s="37"/>
    </row>
    <row r="46" spans="2:7" x14ac:dyDescent="0.3">
      <c r="B46" s="15" t="s">
        <v>41</v>
      </c>
      <c r="C46" s="9"/>
      <c r="D46" s="9"/>
      <c r="E46" s="9"/>
      <c r="F46" s="9"/>
      <c r="G46" s="35">
        <v>50000</v>
      </c>
    </row>
    <row r="47" spans="2:7" x14ac:dyDescent="0.3">
      <c r="B47" s="15" t="s">
        <v>42</v>
      </c>
      <c r="C47" s="9"/>
      <c r="D47" s="9"/>
      <c r="E47" s="9"/>
      <c r="F47" s="9"/>
      <c r="G47" s="35">
        <v>50000</v>
      </c>
    </row>
    <row r="48" spans="2:7" x14ac:dyDescent="0.3">
      <c r="B48" s="15" t="s">
        <v>43</v>
      </c>
      <c r="C48" s="9"/>
      <c r="D48" s="9"/>
      <c r="E48" s="9"/>
      <c r="F48" s="9"/>
      <c r="G48" s="35">
        <v>50000</v>
      </c>
    </row>
    <row r="49" spans="2:7" x14ac:dyDescent="0.3">
      <c r="B49" s="15" t="s">
        <v>44</v>
      </c>
      <c r="C49" s="9"/>
      <c r="D49" s="9"/>
      <c r="E49" s="9"/>
      <c r="F49" s="9"/>
      <c r="G49" s="35">
        <v>25000</v>
      </c>
    </row>
    <row r="50" spans="2:7" ht="30" x14ac:dyDescent="0.3">
      <c r="B50" s="15" t="s">
        <v>45</v>
      </c>
      <c r="C50" s="9"/>
      <c r="D50" s="9"/>
      <c r="E50" s="9"/>
      <c r="F50" s="9"/>
      <c r="G50" s="35"/>
    </row>
    <row r="51" spans="2:7" x14ac:dyDescent="0.3">
      <c r="B51" s="15" t="s">
        <v>46</v>
      </c>
      <c r="C51" s="9"/>
      <c r="D51" s="9"/>
      <c r="E51" s="9"/>
      <c r="F51" s="9"/>
      <c r="G51" s="35">
        <v>25000</v>
      </c>
    </row>
    <row r="52" spans="2:7" x14ac:dyDescent="0.3">
      <c r="B52" s="15" t="s">
        <v>47</v>
      </c>
      <c r="C52" s="9"/>
      <c r="D52" s="9"/>
      <c r="E52" s="9"/>
      <c r="F52" s="9"/>
      <c r="G52" s="35">
        <v>7500</v>
      </c>
    </row>
    <row r="53" spans="2:7" x14ac:dyDescent="0.3">
      <c r="B53" s="16" t="s">
        <v>48</v>
      </c>
      <c r="C53" s="10"/>
      <c r="D53" s="10"/>
      <c r="E53" s="10"/>
      <c r="F53" s="10"/>
      <c r="G53" s="36">
        <v>25000</v>
      </c>
    </row>
    <row r="54" spans="2:7" x14ac:dyDescent="0.3">
      <c r="B54" s="12"/>
    </row>
    <row r="55" spans="2:7" ht="18" x14ac:dyDescent="0.3">
      <c r="B55" s="13" t="s">
        <v>49</v>
      </c>
      <c r="C55" s="11"/>
      <c r="D55" s="11"/>
      <c r="E55" s="11"/>
      <c r="F55" s="11"/>
      <c r="G55" s="23"/>
    </row>
    <row r="56" spans="2:7" ht="60" x14ac:dyDescent="0.3">
      <c r="B56" s="14" t="s">
        <v>50</v>
      </c>
      <c r="C56" s="8"/>
      <c r="D56" s="8"/>
      <c r="E56" s="8"/>
      <c r="F56" s="8"/>
      <c r="G56" s="24"/>
    </row>
    <row r="57" spans="2:7" x14ac:dyDescent="0.3">
      <c r="B57" s="69" t="s">
        <v>148</v>
      </c>
      <c r="C57" s="9"/>
      <c r="D57" s="9"/>
      <c r="E57" s="9"/>
      <c r="F57" s="9"/>
      <c r="G57" s="25"/>
    </row>
    <row r="58" spans="2:7" x14ac:dyDescent="0.3">
      <c r="B58" s="69" t="s">
        <v>149</v>
      </c>
      <c r="C58" s="9"/>
      <c r="D58" s="9"/>
      <c r="E58" s="9"/>
      <c r="F58" s="9"/>
      <c r="G58" s="25"/>
    </row>
    <row r="59" spans="2:7" x14ac:dyDescent="0.3">
      <c r="B59" s="69" t="s">
        <v>150</v>
      </c>
      <c r="C59" s="9"/>
      <c r="D59" s="9"/>
      <c r="E59" s="9"/>
      <c r="F59" s="9"/>
      <c r="G59" s="25"/>
    </row>
    <row r="60" spans="2:7" x14ac:dyDescent="0.3">
      <c r="B60" s="15" t="s">
        <v>51</v>
      </c>
      <c r="C60" s="9"/>
      <c r="D60" s="9"/>
      <c r="E60" s="9"/>
      <c r="F60" s="9"/>
      <c r="G60" s="25">
        <v>5</v>
      </c>
    </row>
    <row r="61" spans="2:7" ht="30" x14ac:dyDescent="0.3">
      <c r="B61" s="15" t="s">
        <v>52</v>
      </c>
      <c r="C61" s="9"/>
      <c r="D61" s="9"/>
      <c r="E61" s="9"/>
      <c r="F61" s="9"/>
      <c r="G61" s="35">
        <v>10000</v>
      </c>
    </row>
    <row r="62" spans="2:7" ht="30" x14ac:dyDescent="0.3">
      <c r="B62" s="15" t="s">
        <v>53</v>
      </c>
      <c r="C62" s="9"/>
      <c r="D62" s="9"/>
      <c r="E62" s="9"/>
      <c r="F62" s="9"/>
      <c r="G62" s="35"/>
    </row>
    <row r="63" spans="2:7" x14ac:dyDescent="0.3">
      <c r="B63" s="15" t="s">
        <v>54</v>
      </c>
      <c r="C63" s="9"/>
      <c r="D63" s="9"/>
      <c r="E63" s="9"/>
      <c r="F63" s="9"/>
      <c r="G63" s="25">
        <v>10</v>
      </c>
    </row>
    <row r="64" spans="2:7" ht="45" x14ac:dyDescent="0.3">
      <c r="B64" s="16" t="s">
        <v>55</v>
      </c>
      <c r="C64" s="10"/>
      <c r="D64" s="10"/>
      <c r="E64" s="10"/>
      <c r="F64" s="10"/>
      <c r="G64" s="36">
        <v>10000</v>
      </c>
    </row>
    <row r="65" spans="2:7" x14ac:dyDescent="0.3">
      <c r="B65" s="12"/>
    </row>
    <row r="66" spans="2:7" ht="18" x14ac:dyDescent="0.3">
      <c r="B66" s="13" t="s">
        <v>56</v>
      </c>
      <c r="C66" s="11"/>
      <c r="D66" s="11"/>
      <c r="E66" s="11"/>
      <c r="F66" s="11"/>
      <c r="G66" s="23"/>
    </row>
    <row r="67" spans="2:7" x14ac:dyDescent="0.3">
      <c r="B67" s="14" t="s">
        <v>57</v>
      </c>
      <c r="C67" s="8"/>
      <c r="D67" s="8"/>
      <c r="E67" s="8"/>
      <c r="F67" s="8"/>
      <c r="G67" s="24" t="s">
        <v>10</v>
      </c>
    </row>
    <row r="68" spans="2:7" x14ac:dyDescent="0.3">
      <c r="B68" s="15" t="s">
        <v>58</v>
      </c>
      <c r="C68" s="9"/>
      <c r="D68" s="9"/>
      <c r="E68" s="9"/>
      <c r="F68" s="9"/>
      <c r="G68" s="25">
        <v>40</v>
      </c>
    </row>
    <row r="69" spans="2:7" x14ac:dyDescent="0.3">
      <c r="B69" s="15" t="s">
        <v>59</v>
      </c>
      <c r="C69" s="9"/>
      <c r="D69" s="9"/>
      <c r="E69" s="9"/>
      <c r="F69" s="9"/>
      <c r="G69" s="35">
        <v>80000</v>
      </c>
    </row>
    <row r="70" spans="2:7" x14ac:dyDescent="0.3">
      <c r="B70" s="15" t="s">
        <v>60</v>
      </c>
      <c r="C70" s="9"/>
      <c r="D70" s="9"/>
      <c r="E70" s="9"/>
      <c r="F70" s="9"/>
      <c r="G70" s="25">
        <v>100</v>
      </c>
    </row>
    <row r="71" spans="2:7" ht="30" x14ac:dyDescent="0.3">
      <c r="B71" s="15" t="s">
        <v>61</v>
      </c>
      <c r="C71" s="9"/>
      <c r="D71" s="9"/>
      <c r="E71" s="9"/>
      <c r="F71" s="9"/>
      <c r="G71" s="25" t="s">
        <v>62</v>
      </c>
    </row>
    <row r="72" spans="2:7" x14ac:dyDescent="0.3">
      <c r="B72" s="15" t="s">
        <v>63</v>
      </c>
      <c r="C72" s="9"/>
      <c r="D72" s="9"/>
      <c r="E72" s="9"/>
      <c r="F72" s="9"/>
      <c r="G72" s="25">
        <v>100</v>
      </c>
    </row>
    <row r="73" spans="2:7" ht="30" x14ac:dyDescent="0.3">
      <c r="B73" s="16" t="s">
        <v>64</v>
      </c>
      <c r="C73" s="10"/>
      <c r="D73" s="10"/>
      <c r="E73" s="10"/>
      <c r="F73" s="10"/>
      <c r="G73" s="26" t="s">
        <v>10</v>
      </c>
    </row>
    <row r="74" spans="2:7" x14ac:dyDescent="0.3">
      <c r="B74" s="12"/>
    </row>
    <row r="75" spans="2:7" ht="18" x14ac:dyDescent="0.3">
      <c r="B75" s="13" t="s">
        <v>65</v>
      </c>
      <c r="C75" s="11"/>
      <c r="D75" s="11"/>
      <c r="E75" s="11"/>
      <c r="F75" s="11"/>
      <c r="G75" s="23"/>
    </row>
    <row r="76" spans="2:7" ht="60" x14ac:dyDescent="0.3">
      <c r="B76" s="14" t="s">
        <v>66</v>
      </c>
      <c r="C76" s="8"/>
      <c r="D76" s="8"/>
      <c r="E76" s="8"/>
      <c r="F76" s="8"/>
      <c r="G76" s="37">
        <v>50000</v>
      </c>
    </row>
    <row r="77" spans="2:7" x14ac:dyDescent="0.3">
      <c r="B77" s="15" t="s">
        <v>67</v>
      </c>
      <c r="C77" s="9"/>
      <c r="D77" s="9"/>
      <c r="E77" s="9"/>
      <c r="F77" s="9"/>
      <c r="G77" s="35">
        <v>100000</v>
      </c>
    </row>
    <row r="78" spans="2:7" ht="30" x14ac:dyDescent="0.3">
      <c r="B78" s="15" t="s">
        <v>68</v>
      </c>
      <c r="C78" s="9"/>
      <c r="D78" s="9"/>
      <c r="E78" s="9"/>
      <c r="F78" s="9"/>
      <c r="G78" s="35">
        <v>100000</v>
      </c>
    </row>
    <row r="79" spans="2:7" ht="30" x14ac:dyDescent="0.3">
      <c r="B79" s="15" t="s">
        <v>69</v>
      </c>
      <c r="C79" s="9"/>
      <c r="D79" s="9"/>
      <c r="E79" s="9"/>
      <c r="F79" s="9"/>
      <c r="G79" s="35">
        <v>50000</v>
      </c>
    </row>
    <row r="80" spans="2:7" ht="30" x14ac:dyDescent="0.3">
      <c r="B80" s="15" t="s">
        <v>70</v>
      </c>
      <c r="C80" s="9"/>
      <c r="D80" s="9"/>
      <c r="E80" s="9"/>
      <c r="F80" s="9"/>
      <c r="G80" s="35">
        <v>750</v>
      </c>
    </row>
    <row r="81" spans="2:7" x14ac:dyDescent="0.3">
      <c r="B81" s="15" t="s">
        <v>71</v>
      </c>
      <c r="C81" s="9"/>
      <c r="D81" s="9"/>
      <c r="E81" s="9"/>
      <c r="F81" s="9"/>
      <c r="G81" s="38">
        <v>100</v>
      </c>
    </row>
    <row r="82" spans="2:7" ht="30" x14ac:dyDescent="0.3">
      <c r="B82" s="15" t="s">
        <v>72</v>
      </c>
      <c r="C82" s="9"/>
      <c r="D82" s="9"/>
      <c r="E82" s="9"/>
      <c r="F82" s="9"/>
      <c r="G82" s="35">
        <v>0</v>
      </c>
    </row>
    <row r="83" spans="2:7" x14ac:dyDescent="0.3">
      <c r="B83" s="49" t="s">
        <v>73</v>
      </c>
      <c r="C83" s="50"/>
      <c r="D83" s="50"/>
      <c r="E83" s="50"/>
      <c r="F83" s="50"/>
      <c r="G83" s="51">
        <f>IF(G10=0, 0, (G90-G38+SUM(G40:G42)+SUM(G46:G49)+SUM(G51:G53)+G61+G62+G64+G69+SUM(G76:G79)+(G80*G81)+G82) / G10)</f>
        <v>921.48965517241379</v>
      </c>
    </row>
    <row r="84" spans="2:7" x14ac:dyDescent="0.3">
      <c r="B84" s="12"/>
    </row>
    <row r="85" spans="2:7" ht="18" x14ac:dyDescent="0.3">
      <c r="B85" s="13" t="s">
        <v>74</v>
      </c>
      <c r="C85" s="11"/>
      <c r="D85" s="11"/>
      <c r="E85" s="11"/>
      <c r="F85" s="11"/>
      <c r="G85" s="23"/>
    </row>
    <row r="86" spans="2:7" x14ac:dyDescent="0.3">
      <c r="B86" s="14" t="s">
        <v>75</v>
      </c>
      <c r="C86" s="8"/>
      <c r="D86" s="8"/>
      <c r="E86" s="8"/>
      <c r="F86" s="8"/>
      <c r="G86" s="24"/>
    </row>
    <row r="87" spans="2:7" x14ac:dyDescent="0.3">
      <c r="B87" s="15" t="s">
        <v>76</v>
      </c>
      <c r="C87" s="9"/>
      <c r="D87" s="9"/>
      <c r="E87" s="9"/>
      <c r="F87" s="9"/>
      <c r="G87" s="38">
        <f>G17+G18</f>
        <v>100000</v>
      </c>
    </row>
    <row r="88" spans="2:7" x14ac:dyDescent="0.3">
      <c r="B88" s="15" t="s">
        <v>77</v>
      </c>
      <c r="C88" s="9"/>
      <c r="D88" s="9"/>
      <c r="E88" s="9"/>
      <c r="F88" s="9"/>
      <c r="G88" s="25">
        <f>G34</f>
        <v>7</v>
      </c>
    </row>
    <row r="89" spans="2:7" x14ac:dyDescent="0.3">
      <c r="B89" s="15" t="s">
        <v>78</v>
      </c>
      <c r="C89" s="9"/>
      <c r="D89" s="9"/>
      <c r="E89" s="9"/>
      <c r="F89" s="9"/>
      <c r="G89" s="25">
        <f>G35</f>
        <v>30</v>
      </c>
    </row>
    <row r="90" spans="2:7" x14ac:dyDescent="0.3">
      <c r="B90" s="15" t="s">
        <v>79</v>
      </c>
      <c r="C90" s="9"/>
      <c r="D90" s="9"/>
      <c r="E90" s="9"/>
      <c r="F90" s="9"/>
      <c r="G90" s="35">
        <f>G88*G89*G37</f>
        <v>303660</v>
      </c>
    </row>
    <row r="91" spans="2:7" ht="30" x14ac:dyDescent="0.3">
      <c r="B91" s="15" t="s">
        <v>80</v>
      </c>
      <c r="C91" s="9"/>
      <c r="D91" s="9"/>
      <c r="E91" s="9"/>
      <c r="F91" s="9"/>
      <c r="G91" s="39">
        <f>IF(G36=0, 0, G87/((365-10-104-10)*G36))</f>
        <v>5.532503457814661</v>
      </c>
    </row>
    <row r="92" spans="2:7" x14ac:dyDescent="0.3">
      <c r="B92" s="49" t="s">
        <v>81</v>
      </c>
      <c r="C92" s="50"/>
      <c r="D92" s="50"/>
      <c r="E92" s="50"/>
      <c r="F92" s="50"/>
      <c r="G92" s="51">
        <f>IF(G17+G18=0, 0, G90/(G17+G18))</f>
        <v>3.0366</v>
      </c>
    </row>
    <row r="93" spans="2:7" x14ac:dyDescent="0.3">
      <c r="B93" s="12"/>
    </row>
    <row r="94" spans="2:7" ht="18" x14ac:dyDescent="0.3">
      <c r="B94" s="13" t="s">
        <v>82</v>
      </c>
      <c r="C94" s="11"/>
      <c r="D94" s="11"/>
      <c r="E94" s="11"/>
      <c r="F94" s="11"/>
      <c r="G94" s="23"/>
    </row>
    <row r="95" spans="2:7" x14ac:dyDescent="0.3">
      <c r="B95" s="14" t="s">
        <v>83</v>
      </c>
      <c r="C95" s="8"/>
      <c r="D95" s="8"/>
      <c r="E95" s="8"/>
      <c r="F95" s="8"/>
      <c r="G95" s="37">
        <f>2.5</f>
        <v>2.5</v>
      </c>
    </row>
    <row r="96" spans="2:7" x14ac:dyDescent="0.3">
      <c r="B96" s="40" t="s">
        <v>84</v>
      </c>
      <c r="C96" s="41"/>
      <c r="D96" s="41"/>
      <c r="E96" s="41"/>
      <c r="F96" s="41"/>
      <c r="G96" s="42">
        <f>(G17+G18)*G95</f>
        <v>250000</v>
      </c>
    </row>
    <row r="97" spans="2:7" x14ac:dyDescent="0.3">
      <c r="B97" s="12"/>
    </row>
    <row r="98" spans="2:7" ht="18" x14ac:dyDescent="0.3">
      <c r="B98" s="13" t="s">
        <v>85</v>
      </c>
      <c r="C98" s="11"/>
      <c r="D98" s="11"/>
      <c r="E98" s="11"/>
      <c r="F98" s="11"/>
      <c r="G98" s="23"/>
    </row>
    <row r="99" spans="2:7" x14ac:dyDescent="0.3">
      <c r="B99" s="14" t="s">
        <v>86</v>
      </c>
      <c r="C99" s="8"/>
      <c r="D99" s="8"/>
      <c r="E99" s="8"/>
      <c r="F99" s="8"/>
      <c r="G99" s="34">
        <f>IF(G17+G18 = 0, 0, G17/(G17+G18))</f>
        <v>0.5</v>
      </c>
    </row>
    <row r="100" spans="2:7" x14ac:dyDescent="0.3">
      <c r="B100" s="16" t="s">
        <v>87</v>
      </c>
      <c r="C100" s="10"/>
      <c r="D100" s="10"/>
      <c r="E100" s="10"/>
      <c r="F100" s="10"/>
      <c r="G100" s="29">
        <f>IF(G17+G18 = 0, 0, G18/(G17+G18))</f>
        <v>0.5</v>
      </c>
    </row>
    <row r="101" spans="2:7" x14ac:dyDescent="0.3">
      <c r="B101" s="12"/>
    </row>
    <row r="102" spans="2:7" ht="18" x14ac:dyDescent="0.3">
      <c r="B102" s="13" t="s">
        <v>88</v>
      </c>
      <c r="C102" s="11"/>
      <c r="D102" s="11"/>
      <c r="E102" s="11"/>
      <c r="F102" s="11"/>
      <c r="G102" s="23"/>
    </row>
    <row r="103" spans="2:7" x14ac:dyDescent="0.3">
      <c r="B103" s="14" t="s">
        <v>89</v>
      </c>
      <c r="C103" s="8"/>
      <c r="D103" s="8"/>
      <c r="E103" s="8"/>
      <c r="F103" s="8"/>
      <c r="G103" s="24"/>
    </row>
    <row r="104" spans="2:7" ht="30" x14ac:dyDescent="0.3">
      <c r="B104" s="15" t="s">
        <v>90</v>
      </c>
      <c r="C104" s="9"/>
      <c r="D104" s="9"/>
      <c r="E104" s="9"/>
      <c r="F104" s="9"/>
      <c r="G104" s="28">
        <v>0.25</v>
      </c>
    </row>
    <row r="105" spans="2:7" ht="30" x14ac:dyDescent="0.3">
      <c r="B105" s="56" t="s">
        <v>91</v>
      </c>
      <c r="C105" s="57"/>
      <c r="D105" s="57"/>
      <c r="E105" s="57"/>
      <c r="F105" s="58" t="s">
        <v>92</v>
      </c>
      <c r="G105" s="59">
        <f>G90*(1-G104)</f>
        <v>227745</v>
      </c>
    </row>
    <row r="106" spans="2:7" x14ac:dyDescent="0.3">
      <c r="B106" s="56"/>
      <c r="C106" s="57"/>
      <c r="D106" s="57"/>
      <c r="E106" s="57"/>
      <c r="F106" s="58" t="s">
        <v>93</v>
      </c>
      <c r="G106" s="59">
        <f>G90-G105</f>
        <v>75915</v>
      </c>
    </row>
    <row r="107" spans="2:7" x14ac:dyDescent="0.3">
      <c r="B107" s="15" t="s">
        <v>94</v>
      </c>
      <c r="C107" s="9"/>
      <c r="D107" s="9"/>
      <c r="E107" s="9"/>
      <c r="F107" s="18"/>
      <c r="G107" s="35">
        <f>G40+G41+G42</f>
        <v>325000</v>
      </c>
    </row>
    <row r="108" spans="2:7" ht="30" x14ac:dyDescent="0.3">
      <c r="B108" s="15" t="s">
        <v>95</v>
      </c>
      <c r="C108" s="9"/>
      <c r="D108" s="9"/>
      <c r="E108" s="9"/>
      <c r="F108" s="18"/>
      <c r="G108" s="28">
        <v>0.2</v>
      </c>
    </row>
    <row r="109" spans="2:7" x14ac:dyDescent="0.3">
      <c r="B109" s="56"/>
      <c r="C109" s="57"/>
      <c r="D109" s="57"/>
      <c r="E109" s="57"/>
      <c r="F109" s="58" t="s">
        <v>92</v>
      </c>
      <c r="G109" s="59">
        <f>G107*(1-G108)</f>
        <v>260000</v>
      </c>
    </row>
    <row r="110" spans="2:7" x14ac:dyDescent="0.3">
      <c r="B110" s="52"/>
      <c r="C110" s="53"/>
      <c r="D110" s="53"/>
      <c r="E110" s="53"/>
      <c r="F110" s="54" t="s">
        <v>93</v>
      </c>
      <c r="G110" s="55">
        <f>G107-G109</f>
        <v>65000</v>
      </c>
    </row>
    <row r="111" spans="2:7" x14ac:dyDescent="0.3">
      <c r="B111" s="12"/>
    </row>
    <row r="112" spans="2:7" ht="18" x14ac:dyDescent="0.3">
      <c r="B112" s="13" t="s">
        <v>96</v>
      </c>
      <c r="C112" s="11"/>
      <c r="D112" s="11"/>
      <c r="E112" s="11"/>
      <c r="F112" s="11"/>
      <c r="G112" s="23"/>
    </row>
    <row r="113" spans="2:7" x14ac:dyDescent="0.3">
      <c r="B113" s="14" t="s">
        <v>97</v>
      </c>
      <c r="C113" s="8"/>
      <c r="D113" s="8"/>
      <c r="E113" s="8"/>
      <c r="F113" s="43"/>
      <c r="G113" s="37">
        <f>G46+G47+G48+G49</f>
        <v>175000</v>
      </c>
    </row>
    <row r="114" spans="2:7" x14ac:dyDescent="0.3">
      <c r="B114" s="15" t="s">
        <v>98</v>
      </c>
      <c r="C114" s="9"/>
      <c r="D114" s="9"/>
      <c r="E114" s="9"/>
      <c r="F114" s="18"/>
      <c r="G114" s="28">
        <v>0.25</v>
      </c>
    </row>
    <row r="115" spans="2:7" x14ac:dyDescent="0.3">
      <c r="B115" s="56"/>
      <c r="C115" s="57"/>
      <c r="D115" s="57"/>
      <c r="E115" s="57"/>
      <c r="F115" s="60" t="s">
        <v>92</v>
      </c>
      <c r="G115" s="59">
        <f>G113*(1-G114)</f>
        <v>131250</v>
      </c>
    </row>
    <row r="116" spans="2:7" x14ac:dyDescent="0.3">
      <c r="B116" s="56"/>
      <c r="C116" s="57"/>
      <c r="D116" s="57"/>
      <c r="E116" s="57"/>
      <c r="F116" s="60" t="s">
        <v>93</v>
      </c>
      <c r="G116" s="59">
        <f>G113-G115</f>
        <v>43750</v>
      </c>
    </row>
    <row r="117" spans="2:7" x14ac:dyDescent="0.3">
      <c r="B117" s="15" t="s">
        <v>99</v>
      </c>
      <c r="C117" s="9"/>
      <c r="D117" s="9"/>
      <c r="E117" s="9"/>
      <c r="F117" s="44"/>
      <c r="G117" s="35">
        <f>G51+G52+G53</f>
        <v>57500</v>
      </c>
    </row>
    <row r="118" spans="2:7" x14ac:dyDescent="0.3">
      <c r="B118" s="15" t="s">
        <v>98</v>
      </c>
      <c r="C118" s="9"/>
      <c r="D118" s="9"/>
      <c r="E118" s="9"/>
      <c r="F118" s="44"/>
      <c r="G118" s="28">
        <v>0.2</v>
      </c>
    </row>
    <row r="119" spans="2:7" x14ac:dyDescent="0.3">
      <c r="B119" s="56"/>
      <c r="C119" s="57"/>
      <c r="D119" s="57"/>
      <c r="E119" s="57"/>
      <c r="F119" s="60" t="s">
        <v>92</v>
      </c>
      <c r="G119" s="59">
        <f>G117*(1-G118)</f>
        <v>46000</v>
      </c>
    </row>
    <row r="120" spans="2:7" x14ac:dyDescent="0.3">
      <c r="B120" s="52"/>
      <c r="C120" s="53"/>
      <c r="D120" s="53"/>
      <c r="E120" s="53"/>
      <c r="F120" s="61" t="s">
        <v>93</v>
      </c>
      <c r="G120" s="55">
        <f>G117-G119</f>
        <v>11500</v>
      </c>
    </row>
    <row r="121" spans="2:7" x14ac:dyDescent="0.3">
      <c r="B121" s="12"/>
    </row>
    <row r="122" spans="2:7" ht="18" x14ac:dyDescent="0.3">
      <c r="B122" s="13" t="s">
        <v>100</v>
      </c>
      <c r="C122" s="11"/>
      <c r="D122" s="11"/>
      <c r="E122" s="11"/>
      <c r="F122" s="11"/>
      <c r="G122" s="23"/>
    </row>
    <row r="123" spans="2:7" x14ac:dyDescent="0.3">
      <c r="B123" s="14" t="s">
        <v>101</v>
      </c>
      <c r="C123" s="8"/>
      <c r="D123" s="8"/>
      <c r="E123" s="8"/>
      <c r="F123" s="43"/>
      <c r="G123" s="24">
        <f>G60</f>
        <v>5</v>
      </c>
    </row>
    <row r="124" spans="2:7" x14ac:dyDescent="0.3">
      <c r="B124" s="15" t="s">
        <v>102</v>
      </c>
      <c r="C124" s="9"/>
      <c r="D124" s="9"/>
      <c r="E124" s="9"/>
      <c r="F124" s="18"/>
      <c r="G124" s="35">
        <f>G61/G123</f>
        <v>2000</v>
      </c>
    </row>
    <row r="125" spans="2:7" x14ac:dyDescent="0.3">
      <c r="B125" s="15" t="s">
        <v>98</v>
      </c>
      <c r="C125" s="9"/>
      <c r="D125" s="9"/>
      <c r="E125" s="9"/>
      <c r="F125" s="18"/>
      <c r="G125" s="28">
        <v>0.1</v>
      </c>
    </row>
    <row r="126" spans="2:7" x14ac:dyDescent="0.3">
      <c r="B126" s="56"/>
      <c r="C126" s="57"/>
      <c r="D126" s="57"/>
      <c r="E126" s="57"/>
      <c r="F126" s="58" t="s">
        <v>92</v>
      </c>
      <c r="G126" s="59">
        <f>G123*G124*(1-G125)</f>
        <v>9000</v>
      </c>
    </row>
    <row r="127" spans="2:7" x14ac:dyDescent="0.3">
      <c r="B127" s="56"/>
      <c r="C127" s="57"/>
      <c r="D127" s="57"/>
      <c r="E127" s="57"/>
      <c r="F127" s="58" t="s">
        <v>93</v>
      </c>
      <c r="G127" s="59">
        <f>(G123*G124)-G126</f>
        <v>1000</v>
      </c>
    </row>
    <row r="128" spans="2:7" x14ac:dyDescent="0.3">
      <c r="B128" s="15" t="s">
        <v>103</v>
      </c>
      <c r="C128" s="9"/>
      <c r="D128" s="9"/>
      <c r="E128" s="9"/>
      <c r="F128" s="18"/>
      <c r="G128" s="25">
        <f>G63</f>
        <v>10</v>
      </c>
    </row>
    <row r="129" spans="2:7" x14ac:dyDescent="0.3">
      <c r="B129" s="15" t="s">
        <v>104</v>
      </c>
      <c r="C129" s="9"/>
      <c r="D129" s="9"/>
      <c r="E129" s="9"/>
      <c r="F129" s="18"/>
      <c r="G129" s="35">
        <f>IF(G63 = 0, 0, G64/G63)</f>
        <v>1000</v>
      </c>
    </row>
    <row r="130" spans="2:7" x14ac:dyDescent="0.3">
      <c r="B130" s="15" t="s">
        <v>98</v>
      </c>
      <c r="C130" s="9"/>
      <c r="D130" s="9"/>
      <c r="E130" s="9"/>
      <c r="F130" s="18"/>
      <c r="G130" s="28">
        <v>0.1</v>
      </c>
    </row>
    <row r="131" spans="2:7" x14ac:dyDescent="0.3">
      <c r="B131" s="56"/>
      <c r="C131" s="57"/>
      <c r="D131" s="57"/>
      <c r="E131" s="57"/>
      <c r="F131" s="58" t="s">
        <v>92</v>
      </c>
      <c r="G131" s="59">
        <f>G128*G129*(1-G130)</f>
        <v>9000</v>
      </c>
    </row>
    <row r="132" spans="2:7" x14ac:dyDescent="0.3">
      <c r="B132" s="52"/>
      <c r="C132" s="53"/>
      <c r="D132" s="53"/>
      <c r="E132" s="53"/>
      <c r="F132" s="54" t="s">
        <v>93</v>
      </c>
      <c r="G132" s="55">
        <f>(G129*G128)-G131</f>
        <v>1000</v>
      </c>
    </row>
    <row r="133" spans="2:7" x14ac:dyDescent="0.3">
      <c r="B133" s="12"/>
      <c r="F133" s="27"/>
    </row>
    <row r="134" spans="2:7" ht="18" x14ac:dyDescent="0.3">
      <c r="B134" s="13" t="s">
        <v>105</v>
      </c>
      <c r="C134" s="11"/>
      <c r="D134" s="11"/>
      <c r="E134" s="11"/>
      <c r="F134" s="23"/>
      <c r="G134" s="23"/>
    </row>
    <row r="135" spans="2:7" x14ac:dyDescent="0.3">
      <c r="B135" s="14" t="s">
        <v>106</v>
      </c>
      <c r="C135" s="8"/>
      <c r="D135" s="8"/>
      <c r="E135" s="8"/>
      <c r="F135" s="43"/>
      <c r="G135" s="37">
        <f>G69</f>
        <v>80000</v>
      </c>
    </row>
    <row r="136" spans="2:7" x14ac:dyDescent="0.3">
      <c r="B136" s="15" t="s">
        <v>98</v>
      </c>
      <c r="C136" s="9"/>
      <c r="D136" s="9"/>
      <c r="E136" s="9"/>
      <c r="F136" s="18"/>
      <c r="G136" s="28">
        <v>0.2</v>
      </c>
    </row>
    <row r="137" spans="2:7" x14ac:dyDescent="0.3">
      <c r="B137" s="56"/>
      <c r="C137" s="57"/>
      <c r="D137" s="57"/>
      <c r="E137" s="57"/>
      <c r="F137" s="58" t="s">
        <v>92</v>
      </c>
      <c r="G137" s="59">
        <f>G135*(1-G136)</f>
        <v>64000</v>
      </c>
    </row>
    <row r="138" spans="2:7" x14ac:dyDescent="0.3">
      <c r="B138" s="52"/>
      <c r="C138" s="53"/>
      <c r="D138" s="53"/>
      <c r="E138" s="53"/>
      <c r="F138" s="54" t="s">
        <v>93</v>
      </c>
      <c r="G138" s="55">
        <f>G135-G137</f>
        <v>16000</v>
      </c>
    </row>
    <row r="139" spans="2:7" x14ac:dyDescent="0.3">
      <c r="B139" s="12"/>
      <c r="F139" s="27"/>
    </row>
    <row r="140" spans="2:7" ht="18" x14ac:dyDescent="0.3">
      <c r="B140" s="13" t="s">
        <v>107</v>
      </c>
      <c r="C140" s="11"/>
      <c r="D140" s="11"/>
      <c r="E140" s="11"/>
      <c r="F140" s="23"/>
      <c r="G140" s="23"/>
    </row>
    <row r="141" spans="2:7" x14ac:dyDescent="0.3">
      <c r="B141" s="14" t="s">
        <v>108</v>
      </c>
      <c r="C141" s="8"/>
      <c r="D141" s="8"/>
      <c r="E141" s="8"/>
      <c r="F141" s="43"/>
      <c r="G141" s="37">
        <f>G76</f>
        <v>50000</v>
      </c>
    </row>
    <row r="142" spans="2:7" x14ac:dyDescent="0.3">
      <c r="B142" s="15" t="s">
        <v>109</v>
      </c>
      <c r="C142" s="9"/>
      <c r="D142" s="9"/>
      <c r="E142" s="9"/>
      <c r="F142" s="18"/>
      <c r="G142" s="28">
        <v>0.1</v>
      </c>
    </row>
    <row r="143" spans="2:7" x14ac:dyDescent="0.3">
      <c r="B143" s="56"/>
      <c r="C143" s="57"/>
      <c r="D143" s="57"/>
      <c r="E143" s="57"/>
      <c r="F143" s="58" t="s">
        <v>92</v>
      </c>
      <c r="G143" s="59">
        <f>G141*(1-G142)</f>
        <v>45000</v>
      </c>
    </row>
    <row r="144" spans="2:7" x14ac:dyDescent="0.3">
      <c r="B144" s="52"/>
      <c r="C144" s="53"/>
      <c r="D144" s="53"/>
      <c r="E144" s="53"/>
      <c r="F144" s="54" t="s">
        <v>93</v>
      </c>
      <c r="G144" s="55">
        <f>G141-G143</f>
        <v>5000</v>
      </c>
    </row>
    <row r="145" spans="2:7" x14ac:dyDescent="0.3">
      <c r="B145" s="12"/>
      <c r="F145" s="27"/>
    </row>
    <row r="146" spans="2:7" ht="18" x14ac:dyDescent="0.3">
      <c r="B146" s="13" t="s">
        <v>110</v>
      </c>
      <c r="C146" s="11"/>
      <c r="D146" s="11"/>
      <c r="E146" s="11"/>
      <c r="F146" s="23"/>
      <c r="G146" s="23"/>
    </row>
    <row r="147" spans="2:7" x14ac:dyDescent="0.3">
      <c r="B147" s="14" t="s">
        <v>111</v>
      </c>
      <c r="C147" s="8"/>
      <c r="D147" s="8"/>
      <c r="E147" s="8"/>
      <c r="F147" s="43"/>
      <c r="G147" s="37">
        <f>G77</f>
        <v>100000</v>
      </c>
    </row>
    <row r="148" spans="2:7" ht="30" x14ac:dyDescent="0.3">
      <c r="B148" s="15" t="s">
        <v>112</v>
      </c>
      <c r="C148" s="9"/>
      <c r="D148" s="9"/>
      <c r="E148" s="9"/>
      <c r="F148" s="18"/>
      <c r="G148" s="28">
        <v>0.25</v>
      </c>
    </row>
    <row r="149" spans="2:7" x14ac:dyDescent="0.3">
      <c r="B149" s="56"/>
      <c r="C149" s="57"/>
      <c r="D149" s="57"/>
      <c r="E149" s="57"/>
      <c r="F149" s="58" t="s">
        <v>92</v>
      </c>
      <c r="G149" s="59">
        <f>G147*(1-G148)</f>
        <v>75000</v>
      </c>
    </row>
    <row r="150" spans="2:7" x14ac:dyDescent="0.3">
      <c r="B150" s="52"/>
      <c r="C150" s="53"/>
      <c r="D150" s="53"/>
      <c r="E150" s="53"/>
      <c r="F150" s="54" t="s">
        <v>93</v>
      </c>
      <c r="G150" s="55">
        <f>G147-G149</f>
        <v>25000</v>
      </c>
    </row>
    <row r="151" spans="2:7" x14ac:dyDescent="0.3">
      <c r="B151" s="12"/>
      <c r="F151" s="27"/>
    </row>
    <row r="152" spans="2:7" ht="18" x14ac:dyDescent="0.3">
      <c r="B152" s="13" t="s">
        <v>113</v>
      </c>
      <c r="C152" s="11"/>
      <c r="D152" s="11"/>
      <c r="E152" s="11"/>
      <c r="F152" s="23"/>
      <c r="G152" s="23"/>
    </row>
    <row r="153" spans="2:7" x14ac:dyDescent="0.3">
      <c r="B153" s="14" t="s">
        <v>114</v>
      </c>
      <c r="C153" s="8"/>
      <c r="D153" s="8"/>
      <c r="E153" s="8"/>
      <c r="F153" s="43"/>
      <c r="G153" s="37">
        <f>G78</f>
        <v>100000</v>
      </c>
    </row>
    <row r="154" spans="2:7" x14ac:dyDescent="0.3">
      <c r="B154" s="15" t="s">
        <v>98</v>
      </c>
      <c r="C154" s="9"/>
      <c r="D154" s="9"/>
      <c r="E154" s="9"/>
      <c r="F154" s="18"/>
      <c r="G154" s="28">
        <v>0.2</v>
      </c>
    </row>
    <row r="155" spans="2:7" x14ac:dyDescent="0.3">
      <c r="B155" s="56"/>
      <c r="C155" s="57"/>
      <c r="D155" s="57"/>
      <c r="E155" s="57"/>
      <c r="F155" s="58" t="s">
        <v>92</v>
      </c>
      <c r="G155" s="59">
        <f>G153*(1-G154)</f>
        <v>80000</v>
      </c>
    </row>
    <row r="156" spans="2:7" x14ac:dyDescent="0.3">
      <c r="B156" s="52"/>
      <c r="C156" s="53"/>
      <c r="D156" s="53"/>
      <c r="E156" s="53"/>
      <c r="F156" s="54" t="s">
        <v>93</v>
      </c>
      <c r="G156" s="55">
        <f>G153-G155</f>
        <v>20000</v>
      </c>
    </row>
    <row r="157" spans="2:7" x14ac:dyDescent="0.3">
      <c r="B157" s="12"/>
      <c r="F157" s="27"/>
    </row>
    <row r="158" spans="2:7" ht="18" x14ac:dyDescent="0.3">
      <c r="B158" s="13" t="s">
        <v>115</v>
      </c>
      <c r="C158" s="11"/>
      <c r="D158" s="11"/>
      <c r="E158" s="11"/>
      <c r="F158" s="23"/>
      <c r="G158" s="23"/>
    </row>
    <row r="159" spans="2:7" x14ac:dyDescent="0.3">
      <c r="B159" s="14" t="s">
        <v>116</v>
      </c>
      <c r="C159" s="8"/>
      <c r="D159" s="8"/>
      <c r="E159" s="8"/>
      <c r="F159" s="43"/>
      <c r="G159" s="37">
        <f>G79</f>
        <v>50000</v>
      </c>
    </row>
    <row r="160" spans="2:7" x14ac:dyDescent="0.3">
      <c r="B160" s="15" t="s">
        <v>117</v>
      </c>
      <c r="C160" s="9"/>
      <c r="D160" s="9"/>
      <c r="E160" s="9"/>
      <c r="F160" s="18"/>
      <c r="G160" s="28">
        <v>0.2</v>
      </c>
    </row>
    <row r="161" spans="2:7" x14ac:dyDescent="0.3">
      <c r="B161" s="56"/>
      <c r="C161" s="57"/>
      <c r="D161" s="57"/>
      <c r="E161" s="57"/>
      <c r="F161" s="58" t="s">
        <v>92</v>
      </c>
      <c r="G161" s="59">
        <f>G159*(1-G160)</f>
        <v>40000</v>
      </c>
    </row>
    <row r="162" spans="2:7" x14ac:dyDescent="0.3">
      <c r="B162" s="52"/>
      <c r="C162" s="53"/>
      <c r="D162" s="53"/>
      <c r="E162" s="53"/>
      <c r="F162" s="54" t="s">
        <v>93</v>
      </c>
      <c r="G162" s="55">
        <f>G159-G161</f>
        <v>10000</v>
      </c>
    </row>
    <row r="163" spans="2:7" x14ac:dyDescent="0.3">
      <c r="B163" s="12"/>
      <c r="F163" s="27"/>
    </row>
    <row r="164" spans="2:7" ht="18" x14ac:dyDescent="0.3">
      <c r="B164" s="13" t="s">
        <v>118</v>
      </c>
      <c r="C164" s="11"/>
      <c r="D164" s="11"/>
      <c r="E164" s="11"/>
      <c r="F164" s="23"/>
      <c r="G164" s="23"/>
    </row>
    <row r="165" spans="2:7" x14ac:dyDescent="0.3">
      <c r="B165" s="14" t="s">
        <v>119</v>
      </c>
      <c r="C165" s="8"/>
      <c r="D165" s="8"/>
      <c r="E165" s="8"/>
      <c r="F165" s="43"/>
      <c r="G165" s="34">
        <f>G31</f>
        <v>0.05</v>
      </c>
    </row>
    <row r="166" spans="2:7" x14ac:dyDescent="0.3">
      <c r="B166" s="15" t="s">
        <v>120</v>
      </c>
      <c r="C166" s="9"/>
      <c r="D166" s="9"/>
      <c r="E166" s="9"/>
      <c r="F166" s="18"/>
      <c r="G166" s="25">
        <f>$G$165*$G$9</f>
        <v>1000</v>
      </c>
    </row>
    <row r="167" spans="2:7" ht="30" x14ac:dyDescent="0.3">
      <c r="B167" s="15" t="s">
        <v>121</v>
      </c>
      <c r="C167" s="9"/>
      <c r="D167" s="9"/>
      <c r="E167" s="9"/>
      <c r="F167" s="18"/>
      <c r="G167" s="28">
        <v>0.1</v>
      </c>
    </row>
    <row r="168" spans="2:7" x14ac:dyDescent="0.3">
      <c r="B168" s="52"/>
      <c r="C168" s="53"/>
      <c r="D168" s="53"/>
      <c r="E168" s="53"/>
      <c r="F168" s="54" t="s">
        <v>93</v>
      </c>
      <c r="G168" s="55">
        <f>G166*$G$167*G83</f>
        <v>92148.965517241377</v>
      </c>
    </row>
    <row r="169" spans="2:7" x14ac:dyDescent="0.3">
      <c r="B169" s="12"/>
      <c r="F169" s="27"/>
    </row>
    <row r="170" spans="2:7" ht="18" x14ac:dyDescent="0.3">
      <c r="B170" s="13" t="s">
        <v>122</v>
      </c>
      <c r="C170" s="11"/>
      <c r="D170" s="11"/>
      <c r="E170" s="11"/>
      <c r="F170" s="23"/>
      <c r="G170" s="23"/>
    </row>
    <row r="171" spans="2:7" x14ac:dyDescent="0.3">
      <c r="B171" s="14" t="s">
        <v>123</v>
      </c>
      <c r="C171" s="8"/>
      <c r="D171" s="8"/>
      <c r="E171" s="8"/>
      <c r="F171" s="43"/>
      <c r="G171" s="24">
        <f>G14</f>
        <v>64</v>
      </c>
    </row>
    <row r="172" spans="2:7" x14ac:dyDescent="0.3">
      <c r="B172" s="15" t="s">
        <v>124</v>
      </c>
      <c r="C172" s="9"/>
      <c r="D172" s="9"/>
      <c r="E172" s="9"/>
      <c r="F172" s="18"/>
      <c r="G172" s="25">
        <f>821</f>
        <v>821</v>
      </c>
    </row>
    <row r="173" spans="2:7" x14ac:dyDescent="0.3">
      <c r="B173" s="15" t="s">
        <v>125</v>
      </c>
      <c r="C173" s="9"/>
      <c r="D173" s="9"/>
      <c r="E173" s="9"/>
      <c r="F173" s="18"/>
      <c r="G173" s="28">
        <v>0.15</v>
      </c>
    </row>
    <row r="174" spans="2:7" x14ac:dyDescent="0.3">
      <c r="B174" s="15" t="s">
        <v>126</v>
      </c>
      <c r="C174" s="9"/>
      <c r="D174" s="9"/>
      <c r="E174" s="9"/>
      <c r="F174" s="18"/>
      <c r="G174" s="35">
        <f>G11*G172*(G173*G171)</f>
        <v>12610560</v>
      </c>
    </row>
    <row r="175" spans="2:7" x14ac:dyDescent="0.3">
      <c r="B175" s="15" t="s">
        <v>127</v>
      </c>
      <c r="C175" s="9"/>
      <c r="D175" s="9"/>
      <c r="E175" s="9"/>
      <c r="F175" s="18"/>
      <c r="G175" s="25">
        <v>2</v>
      </c>
    </row>
    <row r="176" spans="2:7" x14ac:dyDescent="0.3">
      <c r="B176" s="15" t="s">
        <v>128</v>
      </c>
      <c r="C176" s="9"/>
      <c r="D176" s="9"/>
      <c r="E176" s="9"/>
      <c r="F176" s="18"/>
      <c r="G176" s="35">
        <v>35</v>
      </c>
    </row>
    <row r="177" spans="2:7" ht="30" x14ac:dyDescent="0.3">
      <c r="B177" s="15" t="s">
        <v>129</v>
      </c>
      <c r="C177" s="9"/>
      <c r="D177" s="9"/>
      <c r="E177" s="9"/>
      <c r="F177" s="18"/>
      <c r="G177" s="35">
        <f>(($G$171*'ARAP Savings Calculator'!$G$173)*'ARAP Savings Calculator'!$G$11)*'ARAP Savings Calculator'!$G$176</f>
        <v>537600</v>
      </c>
    </row>
    <row r="178" spans="2:7" x14ac:dyDescent="0.3">
      <c r="B178" s="52"/>
      <c r="C178" s="53"/>
      <c r="D178" s="53"/>
      <c r="E178" s="53"/>
      <c r="F178" s="54" t="s">
        <v>93</v>
      </c>
      <c r="G178" s="55">
        <f>G174+G177</f>
        <v>13148160</v>
      </c>
    </row>
    <row r="179" spans="2:7" x14ac:dyDescent="0.3">
      <c r="B179" s="12"/>
    </row>
    <row r="180" spans="2:7" x14ac:dyDescent="0.3">
      <c r="B180" s="12"/>
    </row>
    <row r="181" spans="2:7" ht="18" x14ac:dyDescent="0.3">
      <c r="B181" s="13" t="s">
        <v>130</v>
      </c>
      <c r="C181" s="11"/>
      <c r="D181" s="11"/>
      <c r="E181" s="11"/>
      <c r="F181" s="11"/>
      <c r="G181" s="23"/>
    </row>
    <row r="182" spans="2:7" ht="30" x14ac:dyDescent="0.3">
      <c r="B182" s="62" t="s">
        <v>131</v>
      </c>
      <c r="C182" s="63"/>
      <c r="D182" s="63"/>
      <c r="E182" s="63"/>
      <c r="F182" s="63"/>
      <c r="G182" s="64">
        <f>E205</f>
        <v>13514473.965517242</v>
      </c>
    </row>
    <row r="183" spans="2:7" x14ac:dyDescent="0.3">
      <c r="B183" s="47"/>
      <c r="C183" s="45"/>
      <c r="D183" s="45"/>
      <c r="E183" s="45"/>
      <c r="F183" s="45"/>
      <c r="G183" s="48"/>
    </row>
    <row r="184" spans="2:7" ht="19.5" x14ac:dyDescent="0.3">
      <c r="B184" s="46" t="s">
        <v>132</v>
      </c>
      <c r="C184" s="46"/>
      <c r="D184" s="46"/>
      <c r="E184" s="46"/>
      <c r="F184" s="46"/>
      <c r="G184" s="46"/>
    </row>
    <row r="185" spans="2:7" x14ac:dyDescent="0.3">
      <c r="B185" s="12"/>
    </row>
    <row r="186" spans="2:7" ht="18" x14ac:dyDescent="0.3">
      <c r="B186" s="13" t="s">
        <v>133</v>
      </c>
      <c r="C186" s="11"/>
      <c r="D186" s="11"/>
      <c r="E186" s="11"/>
      <c r="F186" s="11"/>
      <c r="G186" s="23" t="s">
        <v>134</v>
      </c>
    </row>
    <row r="187" spans="2:7" x14ac:dyDescent="0.3">
      <c r="B187" s="14" t="s">
        <v>135</v>
      </c>
      <c r="C187" s="8"/>
      <c r="D187" s="8"/>
      <c r="E187" s="8"/>
      <c r="F187" s="8"/>
      <c r="G187" s="37">
        <f>G106</f>
        <v>75915</v>
      </c>
    </row>
    <row r="188" spans="2:7" x14ac:dyDescent="0.3">
      <c r="B188" s="15" t="s">
        <v>19</v>
      </c>
      <c r="C188" s="9"/>
      <c r="D188" s="9"/>
      <c r="E188" s="9"/>
      <c r="F188" s="9"/>
      <c r="G188" s="35">
        <f>G110</f>
        <v>65000</v>
      </c>
    </row>
    <row r="189" spans="2:7" x14ac:dyDescent="0.3">
      <c r="B189" s="15" t="s">
        <v>136</v>
      </c>
      <c r="C189" s="9"/>
      <c r="D189" s="9"/>
      <c r="E189" s="9"/>
      <c r="F189" s="9"/>
      <c r="G189" s="35">
        <f>G116</f>
        <v>43750</v>
      </c>
    </row>
    <row r="190" spans="2:7" x14ac:dyDescent="0.3">
      <c r="B190" s="15" t="s">
        <v>137</v>
      </c>
      <c r="C190" s="9"/>
      <c r="D190" s="9"/>
      <c r="E190" s="9"/>
      <c r="F190" s="9"/>
      <c r="G190" s="35">
        <f>G127</f>
        <v>1000</v>
      </c>
    </row>
    <row r="191" spans="2:7" x14ac:dyDescent="0.3">
      <c r="B191" s="15" t="s">
        <v>20</v>
      </c>
      <c r="C191" s="9"/>
      <c r="D191" s="9"/>
      <c r="E191" s="9"/>
      <c r="F191" s="9"/>
      <c r="G191" s="35">
        <f>G132</f>
        <v>1000</v>
      </c>
    </row>
    <row r="192" spans="2:7" x14ac:dyDescent="0.3">
      <c r="B192" s="15" t="s">
        <v>138</v>
      </c>
      <c r="C192" s="9"/>
      <c r="D192" s="9"/>
      <c r="E192" s="9"/>
      <c r="F192" s="9"/>
      <c r="G192" s="35">
        <f>G120</f>
        <v>11500</v>
      </c>
    </row>
    <row r="193" spans="2:7" x14ac:dyDescent="0.3">
      <c r="B193" s="15" t="s">
        <v>139</v>
      </c>
      <c r="C193" s="9"/>
      <c r="D193" s="9"/>
      <c r="E193" s="9"/>
      <c r="F193" s="9"/>
      <c r="G193" s="35">
        <f>G138</f>
        <v>16000</v>
      </c>
    </row>
    <row r="194" spans="2:7" x14ac:dyDescent="0.3">
      <c r="B194" s="15" t="s">
        <v>140</v>
      </c>
      <c r="C194" s="9"/>
      <c r="D194" s="9"/>
      <c r="E194" s="9"/>
      <c r="F194" s="9"/>
      <c r="G194" s="35">
        <f>G144</f>
        <v>5000</v>
      </c>
    </row>
    <row r="195" spans="2:7" x14ac:dyDescent="0.3">
      <c r="B195" s="15" t="s">
        <v>110</v>
      </c>
      <c r="C195" s="9"/>
      <c r="D195" s="9"/>
      <c r="E195" s="9"/>
      <c r="F195" s="9"/>
      <c r="G195" s="35">
        <f>G150</f>
        <v>25000</v>
      </c>
    </row>
    <row r="196" spans="2:7" x14ac:dyDescent="0.3">
      <c r="B196" s="15" t="s">
        <v>113</v>
      </c>
      <c r="C196" s="9"/>
      <c r="D196" s="9"/>
      <c r="E196" s="9"/>
      <c r="F196" s="9"/>
      <c r="G196" s="35">
        <f>G156</f>
        <v>20000</v>
      </c>
    </row>
    <row r="197" spans="2:7" x14ac:dyDescent="0.3">
      <c r="B197" s="16" t="s">
        <v>115</v>
      </c>
      <c r="C197" s="10"/>
      <c r="D197" s="10"/>
      <c r="E197" s="10"/>
      <c r="F197" s="10"/>
      <c r="G197" s="36">
        <f>G162</f>
        <v>10000</v>
      </c>
    </row>
    <row r="199" spans="2:7" x14ac:dyDescent="0.3">
      <c r="B199" s="66" t="s">
        <v>141</v>
      </c>
      <c r="C199" s="67"/>
      <c r="D199" s="67"/>
      <c r="E199" s="67"/>
      <c r="F199" s="67"/>
      <c r="G199" s="68">
        <f>G168</f>
        <v>92148.965517241377</v>
      </c>
    </row>
    <row r="200" spans="2:7" x14ac:dyDescent="0.3">
      <c r="B200" s="66" t="s">
        <v>142</v>
      </c>
      <c r="C200" s="67"/>
      <c r="D200" s="67"/>
      <c r="E200" s="67"/>
      <c r="F200" s="67"/>
      <c r="G200" s="68">
        <f>SUM(G187:G199)</f>
        <v>366313.96551724139</v>
      </c>
    </row>
    <row r="202" spans="2:7" ht="18" x14ac:dyDescent="0.3">
      <c r="B202" s="11" t="s">
        <v>143</v>
      </c>
      <c r="C202" s="11"/>
      <c r="D202" s="11"/>
      <c r="E202" s="11"/>
      <c r="F202" s="11"/>
      <c r="G202" s="23"/>
    </row>
    <row r="203" spans="2:7" x14ac:dyDescent="0.3">
      <c r="B203" s="66" t="s">
        <v>144</v>
      </c>
      <c r="C203" s="67"/>
      <c r="D203" s="67"/>
      <c r="E203" s="67"/>
      <c r="F203" s="67"/>
      <c r="G203" s="68">
        <f>G178</f>
        <v>13148160</v>
      </c>
    </row>
    <row r="205" spans="2:7" ht="21" x14ac:dyDescent="0.3">
      <c r="B205" s="65" t="s">
        <v>145</v>
      </c>
      <c r="C205" s="65"/>
      <c r="D205" s="65"/>
      <c r="E205" s="78">
        <f>G200+G203</f>
        <v>13514473.965517242</v>
      </c>
      <c r="F205" s="78"/>
      <c r="G205" s="78"/>
    </row>
  </sheetData>
  <mergeCells count="1">
    <mergeCell ref="E205:G205"/>
  </mergeCells>
  <printOptions horizontalCentered="1"/>
  <pageMargins left="0.5" right="0.5" top="0.5" bottom="0.5" header="0.3" footer="0.3"/>
  <pageSetup scale="83" fitToHeight="0" orientation="portrait" r:id="rId1"/>
  <headerFooter differentFirst="1">
    <oddFooter>Page &amp;P of &amp;N</oddFooter>
  </headerFooter>
  <ignoredErrors>
    <ignoredError sqref="B57:B5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BC6C7283-F9C5-40AB-BCE8-EB04A3DCCB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ARAP Savings Calculator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2014-10-04T15:42:22Z</dcterms:created>
  <dcterms:modified xsi:type="dcterms:W3CDTF">2014-10-04T15:42:22Z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TC039865909991</vt:lpwstr>
  </property>
</Properties>
</file>