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45" windowWidth="15180" windowHeight="8580"/>
  </bookViews>
  <sheets>
    <sheet name="Data Entry" sheetId="2" r:id="rId1"/>
    <sheet name="Comprehensive Ratio Analysis" sheetId="1" r:id="rId2"/>
  </sheets>
  <definedNames>
    <definedName name="__DemandLoad">TRUE</definedName>
    <definedName name="__IntlFixup" hidden="1">TRUE</definedName>
    <definedName name="__IntlFixupTable" hidden="1">#REF!</definedName>
    <definedName name="_Order1" hidden="1">0</definedName>
    <definedName name="AA.Report.Files" hidden="1">#REF!</definedName>
    <definedName name="AA.Reports.Available" hidden="1">#REF!</definedName>
    <definedName name="ABD" localSheetId="1">'Comprehensive Ratio Analysis'!$F$3:$I$3</definedName>
    <definedName name="ADE" localSheetId="1">'Comprehensive Ratio Analysis'!$F$5:$I$5</definedName>
    <definedName name="AP" localSheetId="1">'Comprehensive Ratio Analysis'!$F$6:$I$6</definedName>
    <definedName name="AR" localSheetId="1">'Comprehensive Ratio Analysis'!$F$7:$I$7</definedName>
    <definedName name="ARN" localSheetId="1">'Comprehensive Ratio Analysis'!$F$37:$I$37</definedName>
    <definedName name="BDE" localSheetId="1">'Comprehensive Ratio Analysis'!$F$8:$I$8</definedName>
    <definedName name="CA" localSheetId="1">'Comprehensive Ratio Analysis'!$F$34:$I$34</definedName>
    <definedName name="CL" localSheetId="1">'Comprehensive Ratio Analysis'!$F$35:$I$35</definedName>
    <definedName name="COS" localSheetId="1">'Comprehensive Ratio Analysis'!$F$10:$I$10</definedName>
    <definedName name="Data.Dump" hidden="1">OFFSET([0]!Data.Top.Left,1,0)</definedName>
    <definedName name="Data.Store" localSheetId="1">'Comprehensive Ratio Analysis'!$B$2</definedName>
    <definedName name="Database.File" hidden="1">#REF!</definedName>
    <definedName name="DP" localSheetId="1">'Comprehensive Ratio Analysis'!$F$31:$I$31</definedName>
    <definedName name="DY" localSheetId="1">'Comprehensive Ratio Analysis'!$F$32:$I$32</definedName>
    <definedName name="ED" localSheetId="1">'Comprehensive Ratio Analysis'!$F$33:$I$33</definedName>
    <definedName name="EQ" localSheetId="1">'Comprehensive Ratio Analysis'!$F$11:$I$11</definedName>
    <definedName name="FA" localSheetId="1">'Comprehensive Ratio Analysis'!$F$44:$I$44</definedName>
    <definedName name="File.Type" hidden="1">#REF!</definedName>
    <definedName name="Formulas.Rows" localSheetId="1">'Comprehensive Ratio Analysis'!$34:$48</definedName>
    <definedName name="FormulasLeftOfTopLeft" localSheetId="1">'Comprehensive Ratio Analysis'!$B$34</definedName>
    <definedName name="FSIC" localSheetId="1">'Comprehensive Ratio Analysis'!$F$2:$I$2</definedName>
    <definedName name="FY" localSheetId="1">'Comprehensive Ratio Analysis'!$F$28:$I$28</definedName>
    <definedName name="GL.Account.Number" localSheetId="1">'Comprehensive Ratio Analysis'!$E:$E</definedName>
    <definedName name="HTML_CodePage" hidden="1">1252</definedName>
    <definedName name="HTML_Control" localSheetId="0" hidden="1">{"'Leverage'!$B$2:$M$418"}</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IBIT" localSheetId="1">'Comprehensive Ratio Analysis'!$F$46:$I$46</definedName>
    <definedName name="IBT" localSheetId="1">'Comprehensive Ratio Analysis'!$F$43:$I$43</definedName>
    <definedName name="InitCalcStatus">-4135</definedName>
    <definedName name="INT" localSheetId="1">'Comprehensive Ratio Analysis'!$F$12:$I$12</definedName>
    <definedName name="INV" localSheetId="1">'Comprehensive Ratio Analysis'!$F$13:$I$13</definedName>
    <definedName name="Lock.Values" localSheetId="1">'Comprehensive Ratio Analysis'!$2:$50</definedName>
    <definedName name="LTD" localSheetId="1">'Comprehensive Ratio Analysis'!$F$15:$I$15</definedName>
    <definedName name="Macro1">[0]!Macro1</definedName>
    <definedName name="Macro2">[0]!Macro2</definedName>
    <definedName name="Next.Up" localSheetId="1">'Comprehensive Ratio Analysis'!A1048576</definedName>
    <definedName name="NI" localSheetId="1">'Comprehensive Ratio Analysis'!$F$42:$I$42</definedName>
    <definedName name="NS" localSheetId="1">'Comprehensive Ratio Analysis'!$F$16:$I$16</definedName>
    <definedName name="NW" localSheetId="1">'Comprehensive Ratio Analysis'!$F$38:$I$38</definedName>
    <definedName name="OCA" localSheetId="1">'Comprehensive Ratio Analysis'!$F$18:$I$18</definedName>
    <definedName name="OCL" localSheetId="1">'Comprehensive Ratio Analysis'!$F$19:$I$19</definedName>
    <definedName name="OE" localSheetId="1">'Comprehensive Ratio Analysis'!$F$45:$I$45</definedName>
    <definedName name="ONCA" localSheetId="1">'Comprehensive Ratio Analysis'!$F$20:$I$20</definedName>
    <definedName name="ONCL" localSheetId="1">'Comprehensive Ratio Analysis'!$F$21:$I$21</definedName>
    <definedName name="ONOE" localSheetId="1">'Comprehensive Ratio Analysis'!$F$22:$I$22</definedName>
    <definedName name="ONOI" localSheetId="1">'Comprehensive Ratio Analysis'!$F$23:$I$23</definedName>
    <definedName name="Ownership" hidden="1">OFFSET([0]!Data.Top.Left,1,0)</definedName>
    <definedName name="Period.Choice">"Drop Down 6"</definedName>
    <definedName name="PI" localSheetId="1">'Comprehensive Ratio Analysis'!$F$30:$I$30</definedName>
    <definedName name="PIRow" localSheetId="1">'Comprehensive Ratio Analysis'!$30:$30</definedName>
    <definedName name="PN" localSheetId="1">'Comprehensive Ratio Analysis'!$F$29:$I$29</definedName>
    <definedName name="_xlnm.Print_Area" localSheetId="1">'Comprehensive Ratio Analysis'!$C$50:$I$87</definedName>
    <definedName name="_xlnm.Print_Area" localSheetId="0">'Data Entry'!$C$3:$H$109</definedName>
    <definedName name="_xlnm.Print_Titles" localSheetId="1">'Comprehensive Ratio Analysis'!$C:$D,'Comprehensive Ratio Analysis'!$50:$51</definedName>
    <definedName name="QA" localSheetId="1">'Comprehensive Ratio Analysis'!$F$36:$I$36</definedName>
    <definedName name="QA.Top.Left" localSheetId="1">'Comprehensive Ratio Analysis'!$F$54</definedName>
    <definedName name="RE" localSheetId="1">'Comprehensive Ratio Analysis'!$F$26:$I$26</definedName>
    <definedName name="ReportLeft" localSheetId="1">'Comprehensive Ratio Analysis'!$C$53:$C$87</definedName>
    <definedName name="Sales">'Data Entry'!$C$9:$H$109</definedName>
    <definedName name="Select_Report" localSheetId="1">'Comprehensive Ratio Analysis'!Select_Report</definedName>
    <definedName name="Select_Report">[0]!Select_Report</definedName>
    <definedName name="Show.Acct.Update.Warning" hidden="1">#REF!</definedName>
    <definedName name="Show.MDB.Update.Warning" hidden="1">#REF!</definedName>
    <definedName name="STD" localSheetId="1">'Comprehensive Ratio Analysis'!$F$27:$I$27</definedName>
    <definedName name="TA" localSheetId="1">'Comprehensive Ratio Analysis'!$F$41:$I$41</definedName>
    <definedName name="TL" localSheetId="1">'Comprehensive Ratio Analysis'!$F$39:$I$39</definedName>
    <definedName name="Values.Rows" localSheetId="1">'Comprehensive Ratio Analysis'!$3:$32</definedName>
    <definedName name="WC" localSheetId="1">'Comprehensive Ratio Analysis'!$F$40:$I$40</definedName>
  </definedNames>
  <calcPr calcId="152511"/>
</workbook>
</file>

<file path=xl/calcChain.xml><?xml version="1.0" encoding="utf-8"?>
<calcChain xmlns="http://schemas.openxmlformats.org/spreadsheetml/2006/main">
  <c r="F52" i="1" l="1"/>
  <c r="F26" i="1"/>
  <c r="G26" i="1"/>
  <c r="H26" i="1"/>
  <c r="I26" i="1"/>
  <c r="G37" i="1"/>
  <c r="H37" i="1"/>
  <c r="I37" i="1"/>
  <c r="F37" i="1"/>
  <c r="G6" i="1"/>
  <c r="H6" i="1"/>
  <c r="I6" i="1"/>
  <c r="G13" i="1"/>
  <c r="H13" i="1"/>
  <c r="I13" i="1"/>
  <c r="F6" i="1"/>
  <c r="F13" i="1"/>
  <c r="F7" i="1"/>
  <c r="G7" i="1"/>
  <c r="F27" i="1"/>
  <c r="G27" i="1"/>
  <c r="H27" i="1"/>
  <c r="I27" i="1"/>
  <c r="F25" i="1"/>
  <c r="G25" i="1"/>
  <c r="H25" i="1"/>
  <c r="I25" i="1"/>
  <c r="F12" i="1"/>
  <c r="G12" i="1"/>
  <c r="H12" i="1"/>
  <c r="I12" i="1"/>
  <c r="F5" i="1"/>
  <c r="G5" i="1"/>
  <c r="H5" i="1"/>
  <c r="I5" i="1"/>
  <c r="F4" i="1"/>
  <c r="G4" i="1"/>
  <c r="H4" i="1"/>
  <c r="I4" i="1"/>
  <c r="F14" i="1"/>
  <c r="G14" i="1"/>
  <c r="H14" i="1"/>
  <c r="I14" i="1"/>
  <c r="H7" i="1"/>
  <c r="I7" i="1"/>
  <c r="F9" i="1"/>
  <c r="G9" i="1"/>
  <c r="H9" i="1"/>
  <c r="I9" i="1"/>
  <c r="D12" i="2"/>
  <c r="D21" i="2" s="1"/>
  <c r="D19" i="2"/>
  <c r="D43" i="2"/>
  <c r="H43" i="2" s="1"/>
  <c r="D49" i="2"/>
  <c r="E73" i="2"/>
  <c r="E78" i="2"/>
  <c r="E80" i="2" s="1"/>
  <c r="E12" i="2"/>
  <c r="E21" i="2" s="1"/>
  <c r="E45" i="2" s="1"/>
  <c r="E19" i="2"/>
  <c r="E43" i="2"/>
  <c r="E49" i="2"/>
  <c r="F73" i="2"/>
  <c r="F78" i="2"/>
  <c r="F80" i="2" s="1"/>
  <c r="G44" i="1" s="1"/>
  <c r="F12" i="2"/>
  <c r="F21" i="2" s="1"/>
  <c r="F19" i="2"/>
  <c r="H10" i="1" s="1"/>
  <c r="H63" i="1" s="1"/>
  <c r="F43" i="2"/>
  <c r="H45" i="1" s="1"/>
  <c r="F49" i="2"/>
  <c r="G73" i="2"/>
  <c r="I36" i="1" s="1"/>
  <c r="G78" i="2"/>
  <c r="G80" i="2"/>
  <c r="G12" i="2"/>
  <c r="G19" i="2"/>
  <c r="I10" i="1" s="1"/>
  <c r="I61" i="1" s="1"/>
  <c r="G43" i="2"/>
  <c r="G49" i="2"/>
  <c r="H73" i="2"/>
  <c r="H78" i="2"/>
  <c r="H80" i="2" s="1"/>
  <c r="E7" i="2"/>
  <c r="F7" i="2" s="1"/>
  <c r="D73" i="2"/>
  <c r="F40" i="1" s="1"/>
  <c r="D78" i="2"/>
  <c r="D80" i="2" s="1"/>
  <c r="D93" i="2"/>
  <c r="D101" i="2" s="1"/>
  <c r="D99" i="2"/>
  <c r="E93" i="2"/>
  <c r="E99" i="2"/>
  <c r="F15" i="1" s="1"/>
  <c r="F93" i="2"/>
  <c r="F99" i="2"/>
  <c r="F101" i="2"/>
  <c r="G39" i="1" s="1"/>
  <c r="G93" i="2"/>
  <c r="G99" i="2"/>
  <c r="H16" i="1"/>
  <c r="H70" i="1" s="1"/>
  <c r="E107" i="2"/>
  <c r="F11" i="1" s="1"/>
  <c r="F107" i="2"/>
  <c r="G11" i="1" s="1"/>
  <c r="G107" i="2"/>
  <c r="H11" i="1"/>
  <c r="H107" i="2"/>
  <c r="I11" i="1" s="1"/>
  <c r="H93" i="2"/>
  <c r="H99" i="2"/>
  <c r="I15" i="1" s="1"/>
  <c r="G10" i="1"/>
  <c r="G60" i="1" s="1"/>
  <c r="F10" i="1"/>
  <c r="F63" i="1" s="1"/>
  <c r="H44" i="1"/>
  <c r="H36" i="1"/>
  <c r="G45" i="1"/>
  <c r="I45" i="1"/>
  <c r="G34" i="1"/>
  <c r="I34" i="1"/>
  <c r="G15" i="1"/>
  <c r="H15" i="1"/>
  <c r="H35" i="1"/>
  <c r="G35" i="1"/>
  <c r="G84" i="1" s="1"/>
  <c r="H109" i="2"/>
  <c r="E109" i="2"/>
  <c r="D107" i="2"/>
  <c r="D109" i="2" s="1"/>
  <c r="H10" i="2"/>
  <c r="H11" i="2"/>
  <c r="H12" i="2"/>
  <c r="H15" i="2"/>
  <c r="H16" i="2"/>
  <c r="H17" i="2"/>
  <c r="H18" i="2"/>
  <c r="H47" i="2"/>
  <c r="H48" i="2"/>
  <c r="H53" i="2"/>
  <c r="H42" i="2"/>
  <c r="H41" i="2"/>
  <c r="H40" i="2"/>
  <c r="H39" i="2"/>
  <c r="H38" i="2"/>
  <c r="H37" i="2"/>
  <c r="H36" i="2"/>
  <c r="H35" i="2"/>
  <c r="H34" i="2"/>
  <c r="H33" i="2"/>
  <c r="H32" i="2"/>
  <c r="H31" i="2"/>
  <c r="H30" i="2"/>
  <c r="H29" i="2"/>
  <c r="H28" i="2"/>
  <c r="H27" i="2"/>
  <c r="H26" i="2"/>
  <c r="H25" i="2"/>
  <c r="H24" i="2"/>
  <c r="I44" i="1" l="1"/>
  <c r="H82" i="2"/>
  <c r="I41" i="1" s="1"/>
  <c r="G73" i="1"/>
  <c r="G61" i="1"/>
  <c r="G16" i="1"/>
  <c r="G21" i="2"/>
  <c r="H49" i="2"/>
  <c r="H34" i="1"/>
  <c r="H56" i="1" s="1"/>
  <c r="F45" i="1"/>
  <c r="G82" i="2"/>
  <c r="G67" i="1"/>
  <c r="G40" i="1"/>
  <c r="G64" i="1" s="1"/>
  <c r="D45" i="2"/>
  <c r="G85" i="1"/>
  <c r="G56" i="1"/>
  <c r="I40" i="1"/>
  <c r="H19" i="2"/>
  <c r="F34" i="1"/>
  <c r="G36" i="1"/>
  <c r="G57" i="1" s="1"/>
  <c r="I60" i="1"/>
  <c r="H101" i="2"/>
  <c r="I39" i="1" s="1"/>
  <c r="G66" i="1"/>
  <c r="E101" i="2"/>
  <c r="F39" i="1" s="1"/>
  <c r="F45" i="2"/>
  <c r="F82" i="2"/>
  <c r="G109" i="2"/>
  <c r="I35" i="1"/>
  <c r="I84" i="1" s="1"/>
  <c r="F35" i="1"/>
  <c r="G101" i="2"/>
  <c r="H39" i="1" s="1"/>
  <c r="G45" i="2"/>
  <c r="G51" i="2" s="1"/>
  <c r="H67" i="1"/>
  <c r="H84" i="1"/>
  <c r="F109" i="2"/>
  <c r="G70" i="1"/>
  <c r="F36" i="1"/>
  <c r="H40" i="1"/>
  <c r="F16" i="1"/>
  <c r="G52" i="1"/>
  <c r="I57" i="1"/>
  <c r="H72" i="1"/>
  <c r="F61" i="1"/>
  <c r="H82" i="1"/>
  <c r="F73" i="1"/>
  <c r="H59" i="1"/>
  <c r="F60" i="1"/>
  <c r="G63" i="1"/>
  <c r="F64" i="1"/>
  <c r="H73" i="1"/>
  <c r="I63" i="1"/>
  <c r="H46" i="1"/>
  <c r="H81" i="1" s="1"/>
  <c r="F51" i="2"/>
  <c r="H38" i="1"/>
  <c r="H87" i="1" s="1"/>
  <c r="G41" i="1"/>
  <c r="I38" i="1"/>
  <c r="I87" i="1" s="1"/>
  <c r="H41" i="1"/>
  <c r="H68" i="1" s="1"/>
  <c r="E51" i="2"/>
  <c r="G46" i="1"/>
  <c r="G81" i="1" s="1"/>
  <c r="D51" i="2"/>
  <c r="F46" i="1"/>
  <c r="F81" i="1" s="1"/>
  <c r="H21" i="2"/>
  <c r="H45" i="2" s="1"/>
  <c r="I46" i="1"/>
  <c r="I81" i="1" s="1"/>
  <c r="E82" i="2"/>
  <c r="F44" i="1"/>
  <c r="F67" i="1" s="1"/>
  <c r="G7" i="2"/>
  <c r="I52" i="1" s="1"/>
  <c r="J52" i="1" s="1"/>
  <c r="H52" i="1"/>
  <c r="H85" i="1"/>
  <c r="H69" i="1"/>
  <c r="H60" i="1"/>
  <c r="H62" i="1"/>
  <c r="H64" i="1"/>
  <c r="H66" i="1"/>
  <c r="I16" i="1"/>
  <c r="I65" i="1" s="1"/>
  <c r="D82" i="2"/>
  <c r="F38" i="1" s="1"/>
  <c r="H61" i="1"/>
  <c r="H57" i="1"/>
  <c r="H51" i="2" l="1"/>
  <c r="H55" i="2" s="1"/>
  <c r="I56" i="1"/>
  <c r="F56" i="1"/>
  <c r="G62" i="1"/>
  <c r="G82" i="1"/>
  <c r="G59" i="1"/>
  <c r="G72" i="1"/>
  <c r="F59" i="1"/>
  <c r="F85" i="1"/>
  <c r="F82" i="1"/>
  <c r="F66" i="1"/>
  <c r="F62" i="1"/>
  <c r="F72" i="1"/>
  <c r="F84" i="1"/>
  <c r="F57" i="1"/>
  <c r="I54" i="1"/>
  <c r="F70" i="1"/>
  <c r="J57" i="1"/>
  <c r="J63" i="1"/>
  <c r="J60" i="1"/>
  <c r="J61" i="1"/>
  <c r="J56" i="1"/>
  <c r="J84" i="1"/>
  <c r="J81" i="1"/>
  <c r="F69" i="1"/>
  <c r="F86" i="1"/>
  <c r="F83" i="1"/>
  <c r="F55" i="2"/>
  <c r="H43" i="1"/>
  <c r="F87" i="1"/>
  <c r="I86" i="1"/>
  <c r="I83" i="1"/>
  <c r="H86" i="1"/>
  <c r="H83" i="1"/>
  <c r="I82" i="1"/>
  <c r="J82" i="1" s="1"/>
  <c r="I70" i="1"/>
  <c r="I66" i="1"/>
  <c r="J66" i="1" s="1"/>
  <c r="I64" i="1"/>
  <c r="J64" i="1" s="1"/>
  <c r="I62" i="1"/>
  <c r="I68" i="1"/>
  <c r="I69" i="1"/>
  <c r="I85" i="1"/>
  <c r="J85" i="1" s="1"/>
  <c r="I73" i="1"/>
  <c r="J73" i="1" s="1"/>
  <c r="I67" i="1"/>
  <c r="J67" i="1" s="1"/>
  <c r="I59" i="1"/>
  <c r="I72" i="1"/>
  <c r="J72" i="1" s="1"/>
  <c r="I43" i="1"/>
  <c r="G55" i="2"/>
  <c r="E55" i="2"/>
  <c r="G43" i="1"/>
  <c r="F41" i="1"/>
  <c r="G38" i="1"/>
  <c r="F43" i="1"/>
  <c r="D55" i="2"/>
  <c r="H54" i="1"/>
  <c r="H65" i="1"/>
  <c r="G65" i="1"/>
  <c r="G68" i="1"/>
  <c r="G54" i="1"/>
  <c r="J59" i="1" l="1"/>
  <c r="J70" i="1"/>
  <c r="J62" i="1"/>
  <c r="G42" i="1"/>
  <c r="F65" i="1"/>
  <c r="J65" i="1" s="1"/>
  <c r="F68" i="1"/>
  <c r="J68" i="1" s="1"/>
  <c r="F54" i="1"/>
  <c r="J54" i="1" s="1"/>
  <c r="F78" i="1"/>
  <c r="F77" i="1"/>
  <c r="F42" i="1"/>
  <c r="D57" i="2"/>
  <c r="E57" i="2" s="1"/>
  <c r="F57" i="2" s="1"/>
  <c r="G57" i="2" s="1"/>
  <c r="H57" i="2" s="1"/>
  <c r="G77" i="1"/>
  <c r="G78" i="1"/>
  <c r="H42" i="1"/>
  <c r="I77" i="1"/>
  <c r="I78" i="1"/>
  <c r="H78" i="1"/>
  <c r="H77" i="1"/>
  <c r="G69" i="1"/>
  <c r="J69" i="1" s="1"/>
  <c r="G87" i="1"/>
  <c r="J87" i="1" s="1"/>
  <c r="G83" i="1"/>
  <c r="J83" i="1" s="1"/>
  <c r="G86" i="1"/>
  <c r="J86" i="1" s="1"/>
  <c r="I42" i="1"/>
  <c r="G79" i="1" l="1"/>
  <c r="G74" i="1"/>
  <c r="G75" i="1"/>
  <c r="G76" i="1"/>
  <c r="J78" i="1"/>
  <c r="J77" i="1"/>
  <c r="I79" i="1"/>
  <c r="I74" i="1"/>
  <c r="I75" i="1"/>
  <c r="I76" i="1"/>
  <c r="F74" i="1"/>
  <c r="F79" i="1"/>
  <c r="F75" i="1"/>
  <c r="J75" i="1" s="1"/>
  <c r="F76" i="1"/>
  <c r="H75" i="1"/>
  <c r="H74" i="1"/>
  <c r="H79" i="1"/>
  <c r="H76" i="1"/>
  <c r="J76" i="1" l="1"/>
  <c r="J74" i="1"/>
  <c r="J79" i="1"/>
</calcChain>
</file>

<file path=xl/comments1.xml><?xml version="1.0" encoding="utf-8"?>
<comments xmlns="http://schemas.openxmlformats.org/spreadsheetml/2006/main">
  <authors>
    <author>Author</author>
  </authors>
  <commentList>
    <comment ref="C6" authorId="0" shapeId="0">
      <text>
        <r>
          <rPr>
            <sz val="8"/>
            <color indexed="81"/>
            <rFont val="Arial"/>
            <family val="2"/>
          </rPr>
          <t>This is like a moving picture of how well the business is doing in terms of sales, costs, and profitability, usually prepared on a monthly basis but covering an accounting period of one year. This can be compared to the speedometer in the car, which constantly changes as the car progresses on its journey. 
The Income Statement and Balance Sheet monitor the day-to-day performance of the business and gives the businessperson the information needed to identify the areas where corrective action should be taken (the equivalent of slowing down and taking notice of the road signs).</t>
        </r>
      </text>
    </comment>
    <comment ref="C7" authorId="0" shapeId="0">
      <text>
        <r>
          <rPr>
            <sz val="8"/>
            <color indexed="81"/>
            <rFont val="Arial"/>
            <family val="2"/>
          </rPr>
          <t>This worksheet provides an Income Statement and Balance Sheet. Please note that this type of layout is for management purposes only, rather than for the year-end filing of accounts. 
The shaded cells contain formulas to perform automatic calculations on your data. Do not enter data into these cells because doing so will erase the formulas in them.</t>
        </r>
      </text>
    </comment>
    <comment ref="D7" authorId="0" shapeId="0">
      <text>
        <r>
          <rPr>
            <sz val="8"/>
            <color indexed="81"/>
            <rFont val="Arial"/>
            <family val="2"/>
          </rPr>
          <t>Enter a Year (Format:2006) or a number (1,2, etc.) in this cell.</t>
        </r>
      </text>
    </comment>
    <comment ref="C62" authorId="0" shapeId="0">
      <text>
        <r>
          <rPr>
            <sz val="8"/>
            <color indexed="81"/>
            <rFont val="Tahoma"/>
            <family val="2"/>
          </rPr>
          <t>Entrepreneurs need a method of periodically measuring the growth and development of their venture.
The balance sheet is a "snapshot" which shows where the money came from to fund the business and where it was spent at a fixed point in time, usually at yearly intervals. The "where it came from" will usually include loans received to date (both long and short term), common stock, and the income generated to date. 
The "where it went to" will usually include cash in the bank, accounts receivable, inventories, and fixed assets. The parallel in driving would be the odometer, which measures the absolute distance the car has traveled, as opposed to the relative or changing performance measurement offered by the speedometer.</t>
        </r>
      </text>
    </comment>
  </commentList>
</comments>
</file>

<file path=xl/comments2.xml><?xml version="1.0" encoding="utf-8"?>
<comments xmlns="http://schemas.openxmlformats.org/spreadsheetml/2006/main">
  <authors>
    <author>Author</author>
  </authors>
  <commentList>
    <comment ref="D54" authorId="0" shapeId="0">
      <text>
        <r>
          <rPr>
            <sz val="8"/>
            <color indexed="81"/>
            <rFont val="Arial"/>
            <family val="2"/>
          </rPr>
          <t xml:space="preserve">The Altman Z Score shows a combination of five different ratios, with each ratio assigned a different weighting as of the report date.
Z-SCORE ABOVE 2.90--YOU'RE IN GOOD SHAPE 
Z-SCORE BETWEEN 2.90 and 1.23--WARNING SIGNS 
Z-SCORE BELOW 1.23--BIG TROUBLE--COULD BE HEADING TOWARD BANKRUPTCY 
</t>
        </r>
      </text>
    </comment>
    <comment ref="D56" authorId="0" shapeId="0">
      <text>
        <r>
          <rPr>
            <sz val="8"/>
            <color indexed="81"/>
            <rFont val="Arial"/>
            <family val="2"/>
          </rPr>
          <t>The Current Ratio shows a ratio of current assets to current liabilities as of the report date.</t>
        </r>
      </text>
    </comment>
    <comment ref="D57" authorId="0" shapeId="0">
      <text>
        <r>
          <rPr>
            <sz val="8"/>
            <color indexed="81"/>
            <rFont val="Arial"/>
            <family val="2"/>
          </rPr>
          <t xml:space="preserve">The Gross Margin Percentage ratio indicates what percentage of each dollar of sales is left over after paying the costs of sales amount for the period. </t>
        </r>
      </text>
    </comment>
    <comment ref="D59" authorId="0" shapeId="0">
      <text>
        <r>
          <rPr>
            <sz val="8"/>
            <color indexed="81"/>
            <rFont val="Arial"/>
            <family val="2"/>
          </rPr>
          <t>The Days Sales in AR shows a ratio indicates how long it takes a business to collect receivables from its customers for the period.</t>
        </r>
      </text>
    </comment>
    <comment ref="D60" authorId="0" shapeId="0">
      <text>
        <r>
          <rPr>
            <sz val="8"/>
            <color indexed="81"/>
            <rFont val="Arial"/>
            <family val="2"/>
          </rPr>
          <t>The Inventory Turnover indicates how quickly a business sells its inventory by comparing the inventory balance to the cost of goods sold expense for the period, on an annualized basis.</t>
        </r>
      </text>
    </comment>
    <comment ref="D61" authorId="0" shapeId="0">
      <text>
        <r>
          <rPr>
            <sz val="8"/>
            <color indexed="81"/>
            <rFont val="Arial"/>
            <family val="2"/>
          </rPr>
          <t>The Days Inventory shows a ratio indicating how many days a business could continue selling using only its existing inventory as of the report date.</t>
        </r>
      </text>
    </comment>
    <comment ref="D62" authorId="0" shapeId="0">
      <text>
        <r>
          <rPr>
            <sz val="8"/>
            <color indexed="81"/>
            <rFont val="Arial"/>
            <family val="2"/>
          </rPr>
          <t xml:space="preserve">The Net Sales to Inventory ratio indicates the size of annual net sales relative to inventory for the period, on an annualized basis. </t>
        </r>
      </text>
    </comment>
    <comment ref="D63" authorId="0" shapeId="0">
      <text>
        <r>
          <rPr>
            <sz val="8"/>
            <color indexed="81"/>
            <rFont val="Arial"/>
            <family val="2"/>
          </rPr>
          <t>The Days Purchases in AP  ratio indicates the size of accounts payable relative to cost of sales for the period.</t>
        </r>
      </text>
    </comment>
    <comment ref="D64" authorId="0" shapeId="0">
      <text>
        <r>
          <rPr>
            <sz val="8"/>
            <color indexed="81"/>
            <rFont val="Arial"/>
            <family val="2"/>
          </rPr>
          <t xml:space="preserve">The Net Sales to Working Capital ratio indicates the size of annual net sales relative to working capital (current assets minus current liabilities) for the period, on an annualized basis. </t>
        </r>
      </text>
    </comment>
    <comment ref="D65" authorId="0" shapeId="0">
      <text>
        <r>
          <rPr>
            <sz val="8"/>
            <color indexed="81"/>
            <rFont val="Arial"/>
            <family val="2"/>
          </rPr>
          <t>The Total Assets to Net Sales ratio indicates how many dollars of assets are required to produce a dollar of sales for the period, on an annualized basis.</t>
        </r>
      </text>
    </comment>
    <comment ref="D66" authorId="0" shapeId="0">
      <text>
        <r>
          <rPr>
            <sz val="8"/>
            <color indexed="81"/>
            <rFont val="Arial"/>
            <family val="2"/>
          </rPr>
          <t>The Net Sales to AR ratio indicates the size of the annual net sales relative to accounts receivable for the period, on an annualized basis.</t>
        </r>
      </text>
    </comment>
    <comment ref="D67" authorId="0" shapeId="0">
      <text>
        <r>
          <rPr>
            <sz val="8"/>
            <color indexed="81"/>
            <rFont val="Arial"/>
            <family val="2"/>
          </rPr>
          <t>The Net Sales to Net Fixed Assets ratio indicates the size of the annual net sales relative to net fixed assets for the period, on an annualized basis.</t>
        </r>
      </text>
    </comment>
    <comment ref="D68" authorId="0" shapeId="0">
      <text>
        <r>
          <rPr>
            <sz val="8"/>
            <color indexed="81"/>
            <rFont val="Arial"/>
            <family val="2"/>
          </rPr>
          <t xml:space="preserve">The Net Sales to Total Assets ratio indicates the size of the annual net sales relative to total assets for the period, on an annualized basis. </t>
        </r>
      </text>
    </comment>
    <comment ref="D69" authorId="0" shapeId="0">
      <text>
        <r>
          <rPr>
            <sz val="8"/>
            <color indexed="81"/>
            <rFont val="Arial"/>
            <family val="2"/>
          </rPr>
          <t xml:space="preserve">The Net Sales to Net Worth ratio indicates the size of the net sales relative to net worth (total assets minus total liabilities) for the period, on an annualized basis. </t>
        </r>
      </text>
    </comment>
    <comment ref="D70" authorId="0" shapeId="0">
      <text>
        <r>
          <rPr>
            <sz val="8"/>
            <color indexed="81"/>
            <rFont val="Arial"/>
            <family val="2"/>
          </rPr>
          <t>The Amortization and Depreciation Expense to Net Sales ratio indicates what percentage of each dollar of sales pays non-cash expenses such as amortization expense of intangible assets, copyrights and patents, and depreciation expense of fixed assets for the period.</t>
        </r>
      </text>
    </comment>
    <comment ref="D72" authorId="0" shapeId="0">
      <text>
        <r>
          <rPr>
            <sz val="8"/>
            <color indexed="81"/>
            <rFont val="Arial"/>
            <family val="2"/>
          </rPr>
          <t xml:space="preserve">The Gross Profit Percentage ratio indicates what percentage of each dollar of sales is left over after paying the costs of sales amount for the period. </t>
        </r>
      </text>
    </comment>
    <comment ref="D73" authorId="0" shapeId="0">
      <text>
        <r>
          <rPr>
            <sz val="8"/>
            <color indexed="81"/>
            <rFont val="Arial"/>
            <family val="2"/>
          </rPr>
          <t>The Operating Expenses as % of Net Sales ratio indicates what percentage of each of sales goes to pay operating expenses for the period.</t>
        </r>
      </text>
    </comment>
    <comment ref="D74" authorId="0" shapeId="0">
      <text>
        <r>
          <rPr>
            <sz val="8"/>
            <color indexed="81"/>
            <rFont val="Arial"/>
            <family val="2"/>
          </rPr>
          <t xml:space="preserve">The Return on Total Assets ratio indicates the size of net income after taxes relative to a firm’s total assets for the period, on an annualized basis. </t>
        </r>
      </text>
    </comment>
    <comment ref="D75" authorId="0" shapeId="0">
      <text>
        <r>
          <rPr>
            <sz val="8"/>
            <color indexed="81"/>
            <rFont val="Arial"/>
            <family val="2"/>
          </rPr>
          <t>The Return on Net Worth ratio indicates the size of net income after taxes relative to a firm’s net worth (total assets minus total liabilities) for the period, on an annualized basis.</t>
        </r>
      </text>
    </comment>
    <comment ref="D76" authorId="0" shapeId="0">
      <text>
        <r>
          <rPr>
            <sz val="8"/>
            <color indexed="81"/>
            <rFont val="Arial"/>
            <family val="2"/>
          </rPr>
          <t>The Return on Net Sales ratio indicates what percentage of each dollar of sales actually ends up as profit for the period.</t>
        </r>
      </text>
    </comment>
    <comment ref="D77" authorId="0" shapeId="0">
      <text>
        <r>
          <rPr>
            <sz val="8"/>
            <color indexed="81"/>
            <rFont val="Arial"/>
            <family val="2"/>
          </rPr>
          <t xml:space="preserve">The Income before tax to Net Worth ratio indicates the size of net income before taxes relative to a firms’ net worth (total assets minus total liabilities) for the period, on an annualized basis. </t>
        </r>
      </text>
    </comment>
    <comment ref="D78" authorId="0" shapeId="0">
      <text>
        <r>
          <rPr>
            <sz val="8"/>
            <color indexed="81"/>
            <rFont val="Arial"/>
            <family val="2"/>
          </rPr>
          <t xml:space="preserve">The Income before tax to Total Assets ratio indicates the size of net income before taxes relative to a firms’ total assets for the period, on an annualized basis. </t>
        </r>
      </text>
    </comment>
    <comment ref="D79" authorId="0" shapeId="0">
      <text>
        <r>
          <rPr>
            <sz val="8"/>
            <color indexed="81"/>
            <rFont val="Arial"/>
            <family val="2"/>
          </rPr>
          <t>The Retained Earnings to Net Income ratio indicates the size of retained earning to net income for the period, on an annualized basis.</t>
        </r>
      </text>
    </comment>
    <comment ref="D81" authorId="0" shapeId="0">
      <text>
        <r>
          <rPr>
            <sz val="8"/>
            <color indexed="81"/>
            <rFont val="Arial"/>
            <family val="2"/>
          </rPr>
          <t xml:space="preserve">The Times Interest Earnged ratio indicates the size of a firm’s interest expense relative to its operating profits for the period, on an annualized basis. </t>
        </r>
      </text>
    </comment>
    <comment ref="D82" authorId="0" shapeId="0">
      <text>
        <r>
          <rPr>
            <sz val="8"/>
            <color indexed="81"/>
            <rFont val="Arial"/>
            <family val="2"/>
          </rPr>
          <t xml:space="preserve">The Interest Expense to Net Sales ratio indicates what percentage of a firm’s net sales goes to pay interest expense on its debts for the period. </t>
        </r>
      </text>
    </comment>
    <comment ref="D83" authorId="0" shapeId="0">
      <text>
        <r>
          <rPr>
            <sz val="8"/>
            <color indexed="81"/>
            <rFont val="Arial"/>
            <family val="2"/>
          </rPr>
          <t>The Current Liabilities to Net Worth ratio indicates the size of firms’ current liabilities relative to its net worth (total assets minus total liabilities) as of the report date.</t>
        </r>
      </text>
    </comment>
    <comment ref="D84" authorId="0" shapeId="0">
      <text>
        <r>
          <rPr>
            <sz val="8"/>
            <color indexed="81"/>
            <rFont val="Arial"/>
            <family val="2"/>
          </rPr>
          <t>The Current Liabilities to Inventory ratio indicates the size of a firms’ current liabilities relative to its inventory as of the report date.</t>
        </r>
      </text>
    </comment>
    <comment ref="D85" authorId="0" shapeId="0">
      <text>
        <r>
          <rPr>
            <sz val="8"/>
            <color indexed="81"/>
            <rFont val="Arial"/>
            <family val="2"/>
          </rPr>
          <t>The AP to Net Sales ratio indicates the size of a firms’ accounts payable relative to its sales revenue for the period, on an annualized basis.</t>
        </r>
      </text>
    </comment>
    <comment ref="D86" authorId="0" shapeId="0">
      <text>
        <r>
          <rPr>
            <sz val="8"/>
            <color indexed="81"/>
            <rFont val="Arial"/>
            <family val="2"/>
          </rPr>
          <t>The Total Liabilities to Net Worth ratio indicates the size of firms’ total liabilities relative to its net worth as of the report date.</t>
        </r>
      </text>
    </comment>
    <comment ref="D87" authorId="0" shapeId="0">
      <text>
        <r>
          <rPr>
            <sz val="8"/>
            <color indexed="81"/>
            <rFont val="Arial"/>
            <family val="2"/>
          </rPr>
          <t xml:space="preserve">The Net Worth to Total Liabilities ratio indicates the size of firms’ net worth relative to its total liabilities as of the report date. </t>
        </r>
      </text>
    </comment>
  </commentList>
</comments>
</file>

<file path=xl/sharedStrings.xml><?xml version="1.0" encoding="utf-8"?>
<sst xmlns="http://schemas.openxmlformats.org/spreadsheetml/2006/main" count="215" uniqueCount="200">
  <si>
    <t>FSIC</t>
  </si>
  <si>
    <t>ABD</t>
  </si>
  <si>
    <t>Allowance for Bad Debt</t>
  </si>
  <si>
    <t>AD</t>
  </si>
  <si>
    <t>Accumulated Depreciation</t>
  </si>
  <si>
    <t>ADE</t>
  </si>
  <si>
    <t>Amortization and Depreciation Expense</t>
  </si>
  <si>
    <t>AP</t>
  </si>
  <si>
    <t>Accounts Payable</t>
  </si>
  <si>
    <t>AR</t>
  </si>
  <si>
    <t>Accounts Receivable</t>
  </si>
  <si>
    <t>BDE</t>
  </si>
  <si>
    <t>Bad Debt Expense</t>
  </si>
  <si>
    <t>CCE</t>
  </si>
  <si>
    <t>Cash &amp; Cash Equivalent</t>
  </si>
  <si>
    <t>COS</t>
  </si>
  <si>
    <t>Cost of Sales</t>
  </si>
  <si>
    <t>EQ</t>
  </si>
  <si>
    <t>Equity</t>
  </si>
  <si>
    <t>INT</t>
  </si>
  <si>
    <t>Interest Expense</t>
  </si>
  <si>
    <t>INV</t>
  </si>
  <si>
    <t>Inventory</t>
  </si>
  <si>
    <t>IT</t>
  </si>
  <si>
    <t>Income Taxes</t>
  </si>
  <si>
    <t>LTD</t>
  </si>
  <si>
    <t>Long Term Debt</t>
  </si>
  <si>
    <t>NS</t>
  </si>
  <si>
    <t>Net Sales</t>
  </si>
  <si>
    <t>OC</t>
  </si>
  <si>
    <t>Officers Compensation</t>
  </si>
  <si>
    <t>OCA</t>
  </si>
  <si>
    <t>Other Current Assets</t>
  </si>
  <si>
    <t>OCL</t>
  </si>
  <si>
    <t>Other Current Liabilities</t>
  </si>
  <si>
    <t>ONCA</t>
  </si>
  <si>
    <t>Other Non-Current Assets</t>
  </si>
  <si>
    <t>ONCL</t>
  </si>
  <si>
    <t>Other Non-Current Liabilities</t>
  </si>
  <si>
    <t>ONOE</t>
  </si>
  <si>
    <t>Other Non-Operating Expense</t>
  </si>
  <si>
    <t>ONOI</t>
  </si>
  <si>
    <t>Other Non-Operating Income</t>
  </si>
  <si>
    <t>OOE</t>
  </si>
  <si>
    <t>Other Operating Expense</t>
  </si>
  <si>
    <t>PPE</t>
  </si>
  <si>
    <t>Property, Plant, &amp; Equipment</t>
  </si>
  <si>
    <t>RE</t>
  </si>
  <si>
    <t>Retained Earnings</t>
  </si>
  <si>
    <t>STD</t>
  </si>
  <si>
    <t>Short Term Debt</t>
  </si>
  <si>
    <t>FY</t>
  </si>
  <si>
    <t>Fiscal Year</t>
  </si>
  <si>
    <t>PN</t>
  </si>
  <si>
    <t>Period Number</t>
  </si>
  <si>
    <t>PI</t>
  </si>
  <si>
    <t>Period Index</t>
  </si>
  <si>
    <t>DP</t>
  </si>
  <si>
    <t>Days in Period</t>
  </si>
  <si>
    <t>DY</t>
  </si>
  <si>
    <t>Days in Year</t>
  </si>
  <si>
    <t>ED</t>
  </si>
  <si>
    <t>Period End</t>
  </si>
  <si>
    <t>CA</t>
  </si>
  <si>
    <t>Current Assets</t>
  </si>
  <si>
    <t>CL</t>
  </si>
  <si>
    <t>Current Liabilities</t>
  </si>
  <si>
    <t>QA</t>
  </si>
  <si>
    <t>Quick Assets</t>
  </si>
  <si>
    <t>ARN</t>
  </si>
  <si>
    <t>Accounts Receivables Net</t>
  </si>
  <si>
    <t>NW</t>
  </si>
  <si>
    <t>Net Worth</t>
  </si>
  <si>
    <t>TL</t>
  </si>
  <si>
    <t>Total Liabilities</t>
  </si>
  <si>
    <t>WC</t>
  </si>
  <si>
    <t>Working Capital</t>
  </si>
  <si>
    <t>TA</t>
  </si>
  <si>
    <t>Total Assets</t>
  </si>
  <si>
    <t>NI</t>
  </si>
  <si>
    <t>Net Income</t>
  </si>
  <si>
    <t>IBT</t>
  </si>
  <si>
    <t>Income Before Tax</t>
  </si>
  <si>
    <t>FA</t>
  </si>
  <si>
    <t>Fixed Assets</t>
  </si>
  <si>
    <t>OE</t>
  </si>
  <si>
    <t>Operating Expenses</t>
  </si>
  <si>
    <t>IBIT</t>
  </si>
  <si>
    <t>Income Before Interest &amp; Taxes</t>
  </si>
  <si>
    <t>Net Fixed Assets to Net Worth</t>
  </si>
  <si>
    <t>Officers Compensation to Net Sales</t>
  </si>
  <si>
    <t xml:space="preserve"> </t>
  </si>
  <si>
    <t>Description</t>
  </si>
  <si>
    <t>Financial Health Ratios</t>
  </si>
  <si>
    <t>Altman Z Score-Small Business/Service</t>
  </si>
  <si>
    <t>Liquidity Ratios</t>
  </si>
  <si>
    <t>Current Ratio</t>
  </si>
  <si>
    <t>Gross Margin Percentage</t>
  </si>
  <si>
    <t>Activity Ratios</t>
  </si>
  <si>
    <t>Days Sales in AR</t>
  </si>
  <si>
    <t>Inventory Turnover</t>
  </si>
  <si>
    <t>Days Inventory</t>
  </si>
  <si>
    <t>Net Sales to Inventory</t>
  </si>
  <si>
    <t>Days Purchases in AP</t>
  </si>
  <si>
    <t>Net Sales to Working Capital</t>
  </si>
  <si>
    <t>Total Assets to Net Sales</t>
  </si>
  <si>
    <t>Net Sales to AR</t>
  </si>
  <si>
    <t>Net Sales to Net Fixed Assets</t>
  </si>
  <si>
    <t>Net Sales to Total Assets</t>
  </si>
  <si>
    <t>Net Sales to Net Worth</t>
  </si>
  <si>
    <t>Amortization and Depreciation Expense to Net Sales</t>
  </si>
  <si>
    <t>Profitability Ratios</t>
  </si>
  <si>
    <t>Gross Profit Percentage</t>
  </si>
  <si>
    <t>Operating Expenses as % of Net Sales</t>
  </si>
  <si>
    <t>Return on Total Assets</t>
  </si>
  <si>
    <t>Return on Net Worth</t>
  </si>
  <si>
    <t>Return on Net Sales</t>
  </si>
  <si>
    <t>Income before tax to Net Worth</t>
  </si>
  <si>
    <t>Income before tax to Total Assets</t>
  </si>
  <si>
    <t>Retained Earning to Net Income</t>
  </si>
  <si>
    <t>Coverage Ratios</t>
  </si>
  <si>
    <t>Times Interest Earned</t>
  </si>
  <si>
    <t>Interest Expense to Net Sales</t>
  </si>
  <si>
    <t>Current Liabilities to Net Worth</t>
  </si>
  <si>
    <t>Current Liabilities to Inventory</t>
  </si>
  <si>
    <t>AP to Net Sales</t>
  </si>
  <si>
    <t>Total Liabilities to Net Worth</t>
  </si>
  <si>
    <t>Net Worth to Total Liabilities</t>
  </si>
  <si>
    <t>Four Year</t>
  </si>
  <si>
    <t>Totals</t>
  </si>
  <si>
    <t>Sales</t>
  </si>
  <si>
    <t>Other</t>
  </si>
  <si>
    <t>Total Sales</t>
  </si>
  <si>
    <t>Materials</t>
  </si>
  <si>
    <t>Labor</t>
  </si>
  <si>
    <t>Overhead</t>
  </si>
  <si>
    <t>Total Cost of Goods Sold</t>
  </si>
  <si>
    <t>Gross Profit</t>
  </si>
  <si>
    <t>Salaries and wages</t>
  </si>
  <si>
    <t>Employee benefits</t>
  </si>
  <si>
    <t>Payroll taxes</t>
  </si>
  <si>
    <t>Rent</t>
  </si>
  <si>
    <t>Utilities</t>
  </si>
  <si>
    <t>Repairs and maintenance</t>
  </si>
  <si>
    <t>Insurance</t>
  </si>
  <si>
    <t>Travel</t>
  </si>
  <si>
    <t>Telephone</t>
  </si>
  <si>
    <t>Postage</t>
  </si>
  <si>
    <t>Office supplies</t>
  </si>
  <si>
    <t>Advertising</t>
  </si>
  <si>
    <t>Marketing/promotion</t>
  </si>
  <si>
    <t>Professional fees</t>
  </si>
  <si>
    <t>Training and development</t>
  </si>
  <si>
    <t>Bank charges</t>
  </si>
  <si>
    <t>Depreciation</t>
  </si>
  <si>
    <t>Total Operating Expenses</t>
  </si>
  <si>
    <t>Operating Income</t>
  </si>
  <si>
    <t>Interest income (expense)</t>
  </si>
  <si>
    <t>Other income (expense)</t>
  </si>
  <si>
    <t>Total Nonoperating Income (Expense)</t>
  </si>
  <si>
    <t>Income (Loss) Before Taxes</t>
  </si>
  <si>
    <t>Net Income (Loss)</t>
  </si>
  <si>
    <t>Cumulative Net Income (Loss)</t>
  </si>
  <si>
    <t>Balance Sheet - Years 1 to 4</t>
  </si>
  <si>
    <t>Opening</t>
  </si>
  <si>
    <t>Year 1</t>
  </si>
  <si>
    <t>Year 2</t>
  </si>
  <si>
    <t>Year 3</t>
  </si>
  <si>
    <t>Year 4</t>
  </si>
  <si>
    <t>ASSETS</t>
  </si>
  <si>
    <t>Cash</t>
  </si>
  <si>
    <t>Notes Receivable</t>
  </si>
  <si>
    <t>Accounts receivable, net</t>
  </si>
  <si>
    <t>Total Current Assets</t>
  </si>
  <si>
    <t>Long-Term Assets</t>
  </si>
  <si>
    <t>Property, plant, and equipment</t>
  </si>
  <si>
    <t>Less accumulated depreciation</t>
  </si>
  <si>
    <t>Net property, plant, and equipment</t>
  </si>
  <si>
    <t>Other long-term assets</t>
  </si>
  <si>
    <t>Total Long-Term Assets</t>
  </si>
  <si>
    <t>LIABILITIES AND SHAREHOLDERS' EQUITY</t>
  </si>
  <si>
    <t>Short-term debt</t>
  </si>
  <si>
    <t>Current maturities of long-term debt</t>
  </si>
  <si>
    <t>Accounts payable</t>
  </si>
  <si>
    <t>Income taxes payable</t>
  </si>
  <si>
    <t>Accrued liabilities</t>
  </si>
  <si>
    <t>Total Current Liabilities</t>
  </si>
  <si>
    <t>Long-Term Liabilities</t>
  </si>
  <si>
    <t>Long-term debt less current maturities</t>
  </si>
  <si>
    <t>Deferred income taxes</t>
  </si>
  <si>
    <t>Other long-term liabilities</t>
  </si>
  <si>
    <t>Total Long-Term Liabilities</t>
  </si>
  <si>
    <t>Shareholders' Equity</t>
  </si>
  <si>
    <t>Common stock</t>
  </si>
  <si>
    <t>Additional paid-in capital</t>
  </si>
  <si>
    <t>Retained earnings</t>
  </si>
  <si>
    <t>Total Shareholders' Equity</t>
  </si>
  <si>
    <t>Total Liabilities and Shareholders' Equity</t>
  </si>
  <si>
    <r>
      <t>Less</t>
    </r>
    <r>
      <rPr>
        <b/>
        <sz val="8"/>
        <color indexed="8"/>
        <rFont val="Tahoma"/>
        <family val="2"/>
      </rPr>
      <t xml:space="preserve"> Cost of Goods Sold</t>
    </r>
  </si>
  <si>
    <t>Data Entry For Comprehensive Ratio Analysis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</si>
</sst>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quot;$&quot;#,##0_);\(&quot;$&quot;#,##0\)"/>
    <numFmt numFmtId="165" formatCode="&quot;$&quot;#,##0_);[Red]\(&quot;$&quot;#,##0\)"/>
    <numFmt numFmtId="166" formatCode="_(&quot;$&quot;* #,##0.00_);_(&quot;$&quot;* \(#,##0.00\);_(&quot;$&quot;* &quot;-&quot;??_);_(@_)"/>
    <numFmt numFmtId="167" formatCode="_(* #,##0.00_);_(* \(#,##0.00\);_(* &quot;-&quot;??_);_(@_)"/>
    <numFmt numFmtId="168" formatCode="&quot;£&quot;#,##0.00;\-&quot;£&quot;#,##0.00"/>
    <numFmt numFmtId="169" formatCode="_-&quot;£&quot;* #,##0_-;\-&quot;£&quot;* #,##0_-;_-&quot;£&quot;* &quot;-&quot;_-;_-@_-"/>
    <numFmt numFmtId="170" formatCode="_-* #,##0_-;\-* #,##0_-;_-* &quot;-&quot;_-;_-@_-"/>
    <numFmt numFmtId="171" formatCode="_-&quot;£&quot;* #,##0.00_-;\-&quot;£&quot;* #,##0.00_-;_-&quot;£&quot;* &quot;-&quot;??_-;_-@_-"/>
    <numFmt numFmtId="172" formatCode="_-* #,##0.00_-;\-* #,##0.00_-;_-* &quot;-&quot;??_-;_-@_-"/>
    <numFmt numFmtId="173" formatCode="0.00%_);[Red]\(0.00%\)"/>
    <numFmt numFmtId="174" formatCode="0%_);[Red]\(0%\)"/>
    <numFmt numFmtId="175" formatCode="_(0.00%_);_(0.00%_);_(0.00%_);_(@_)"/>
  </numFmts>
  <fonts count="53" x14ac:knownFonts="1">
    <font>
      <sz val="10"/>
      <name val="Arial"/>
    </font>
    <font>
      <sz val="10"/>
      <name val="Arial"/>
      <family val="2"/>
    </font>
    <font>
      <sz val="8"/>
      <name val="Tahoma"/>
      <family val="2"/>
    </font>
    <font>
      <sz val="8"/>
      <name val="Verdana"/>
      <family val="2"/>
    </font>
    <font>
      <b/>
      <sz val="8"/>
      <color indexed="9"/>
      <name val="Tahoma"/>
      <family val="2"/>
    </font>
    <font>
      <b/>
      <sz val="8"/>
      <color indexed="8"/>
      <name val="Tahoma"/>
      <family val="2"/>
    </font>
    <font>
      <b/>
      <sz val="11"/>
      <color indexed="23"/>
      <name val="Verdana"/>
      <family val="2"/>
    </font>
    <font>
      <sz val="9"/>
      <name val="Arial"/>
      <family val="2"/>
    </font>
    <font>
      <sz val="8"/>
      <name val="Arial"/>
      <family val="2"/>
    </font>
    <font>
      <b/>
      <sz val="8"/>
      <name val="Arial"/>
      <family val="2"/>
    </font>
    <font>
      <sz val="8"/>
      <color indexed="9"/>
      <name val="Arial"/>
      <family val="2"/>
    </font>
    <font>
      <b/>
      <sz val="8"/>
      <color indexed="9"/>
      <name val="Arial"/>
      <family val="2"/>
    </font>
    <font>
      <sz val="8"/>
      <color indexed="81"/>
      <name val="Arial"/>
      <family val="2"/>
    </font>
    <font>
      <sz val="10"/>
      <color indexed="8"/>
      <name val="Arial"/>
      <family val="2"/>
    </font>
    <font>
      <sz val="8"/>
      <color indexed="8"/>
      <name val="Tahoma"/>
      <family val="2"/>
    </font>
    <font>
      <b/>
      <i/>
      <sz val="8"/>
      <color indexed="8"/>
      <name val="Tahoma"/>
      <family val="2"/>
    </font>
    <font>
      <sz val="8"/>
      <color indexed="10"/>
      <name val="Tahoma"/>
      <family val="2"/>
    </font>
    <font>
      <sz val="10"/>
      <color indexed="9"/>
      <name val="Arial"/>
      <family val="2"/>
    </font>
    <font>
      <b/>
      <sz val="8"/>
      <name val="Tahoma"/>
      <family val="2"/>
    </font>
    <font>
      <sz val="8"/>
      <color indexed="81"/>
      <name val="Tahoma"/>
      <family val="2"/>
    </font>
    <font>
      <sz val="8"/>
      <color indexed="12"/>
      <name val="Tahoma"/>
      <family val="2"/>
    </font>
    <font>
      <u/>
      <sz val="10"/>
      <color indexed="12"/>
      <name val="Arial"/>
      <family val="2"/>
    </font>
    <font>
      <sz val="8"/>
      <name val="Times New Roman"/>
      <family val="1"/>
    </font>
    <font>
      <sz val="10"/>
      <name val="Helv"/>
    </font>
    <font>
      <b/>
      <sz val="9"/>
      <name val="Arial"/>
      <family val="2"/>
    </font>
    <font>
      <b/>
      <sz val="18"/>
      <name val="Arial"/>
      <family val="2"/>
    </font>
    <font>
      <b/>
      <sz val="12"/>
      <name val="Arial"/>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
      <sz val="10"/>
      <color theme="0"/>
      <name val="Arial"/>
      <family val="2"/>
    </font>
    <font>
      <b/>
      <i/>
      <sz val="16"/>
      <color theme="0"/>
      <name val="Times New Roman"/>
      <family val="1"/>
    </font>
    <font>
      <i/>
      <sz val="16"/>
      <color theme="0"/>
      <name val="Times New Roman"/>
      <family val="1"/>
    </font>
    <font>
      <sz val="8"/>
      <color theme="0"/>
      <name val="Verdana"/>
      <family val="2"/>
    </font>
    <font>
      <b/>
      <sz val="11"/>
      <color theme="0"/>
      <name val="Verdana"/>
      <family val="2"/>
    </font>
    <font>
      <sz val="8"/>
      <color theme="0"/>
      <name val="Tahoma"/>
      <family val="2"/>
    </font>
    <font>
      <b/>
      <sz val="8"/>
      <color theme="1"/>
      <name val="Arial"/>
      <family val="2"/>
    </font>
  </fonts>
  <fills count="34">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42"/>
        <bgColor indexed="64"/>
      </patternFill>
    </fill>
    <fill>
      <patternFill patternType="solid">
        <fgColor indexed="47"/>
        <bgColor indexed="64"/>
      </patternFill>
    </fill>
    <fill>
      <patternFill patternType="solid">
        <fgColor indexed="32"/>
        <bgColor indexed="64"/>
      </patternFill>
    </fill>
    <fill>
      <patternFill patternType="solid">
        <fgColor indexed="62"/>
        <bgColor indexed="64"/>
      </patternFill>
    </fill>
    <fill>
      <patternFill patternType="solid">
        <fgColor indexed="47"/>
        <bgColor indexed="9"/>
      </patternFill>
    </fill>
    <fill>
      <patternFill patternType="solid">
        <fgColor indexed="44"/>
        <bgColor indexed="9"/>
      </patternFill>
    </fill>
    <fill>
      <patternFill patternType="solid">
        <fgColor rgb="FF002060"/>
        <bgColor indexed="64"/>
      </patternFill>
    </fill>
  </fills>
  <borders count="78">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style="thick">
        <color indexed="64"/>
      </right>
      <top/>
      <bottom/>
      <diagonal/>
    </border>
    <border>
      <left/>
      <right/>
      <top style="thick">
        <color indexed="64"/>
      </top>
      <bottom/>
      <diagonal/>
    </border>
    <border>
      <left/>
      <right style="thick">
        <color indexed="64"/>
      </right>
      <top style="thick">
        <color indexed="64"/>
      </top>
      <bottom/>
      <diagonal/>
    </border>
    <border>
      <left style="thin">
        <color indexed="64"/>
      </left>
      <right/>
      <top style="thin">
        <color indexed="64"/>
      </top>
      <bottom/>
      <diagonal/>
    </border>
    <border>
      <left/>
      <right style="thin">
        <color indexed="9"/>
      </right>
      <top style="thin">
        <color indexed="64"/>
      </top>
      <bottom/>
      <diagonal/>
    </border>
    <border>
      <left style="thin">
        <color indexed="9"/>
      </left>
      <right style="thin">
        <color indexed="9"/>
      </right>
      <top style="thin">
        <color indexed="64"/>
      </top>
      <bottom/>
      <diagonal/>
    </border>
    <border>
      <left style="thin">
        <color indexed="9"/>
      </left>
      <right style="thin">
        <color indexed="64"/>
      </right>
      <top style="thin">
        <color indexed="64"/>
      </top>
      <bottom/>
      <diagonal/>
    </border>
    <border>
      <left/>
      <right style="thin">
        <color indexed="64"/>
      </right>
      <top/>
      <bottom/>
      <diagonal/>
    </border>
    <border>
      <left style="thin">
        <color indexed="64"/>
      </left>
      <right style="thin">
        <color indexed="9"/>
      </right>
      <top/>
      <bottom/>
      <diagonal/>
    </border>
    <border>
      <left style="thin">
        <color indexed="9"/>
      </left>
      <right style="thin">
        <color indexed="9"/>
      </right>
      <top/>
      <bottom/>
      <diagonal/>
    </border>
    <border>
      <left style="thin">
        <color indexed="9"/>
      </left>
      <right style="thin">
        <color indexed="64"/>
      </right>
      <top/>
      <bottom/>
      <diagonal/>
    </border>
    <border>
      <left style="thin">
        <color indexed="64"/>
      </left>
      <right style="thin">
        <color indexed="9"/>
      </right>
      <top/>
      <bottom style="thin">
        <color indexed="64"/>
      </bottom>
      <diagonal/>
    </border>
    <border>
      <left style="thin">
        <color indexed="9"/>
      </left>
      <right style="thin">
        <color indexed="9"/>
      </right>
      <top/>
      <bottom style="thin">
        <color indexed="64"/>
      </bottom>
      <diagonal/>
    </border>
    <border>
      <left style="thin">
        <color indexed="9"/>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55"/>
      </left>
      <right style="thin">
        <color indexed="55"/>
      </right>
      <top/>
      <bottom/>
      <diagonal/>
    </border>
    <border>
      <left style="thin">
        <color indexed="55"/>
      </left>
      <right style="thin">
        <color indexed="64"/>
      </right>
      <top style="thin">
        <color indexed="8"/>
      </top>
      <bottom/>
      <diagonal/>
    </border>
    <border>
      <left style="thin">
        <color indexed="64"/>
      </left>
      <right style="thin">
        <color indexed="55"/>
      </right>
      <top/>
      <bottom style="medium">
        <color indexed="64"/>
      </bottom>
      <diagonal/>
    </border>
    <border>
      <left style="thin">
        <color indexed="55"/>
      </left>
      <right style="thin">
        <color indexed="55"/>
      </right>
      <top/>
      <bottom style="medium">
        <color indexed="8"/>
      </bottom>
      <diagonal/>
    </border>
    <border>
      <left style="thin">
        <color indexed="55"/>
      </left>
      <right style="thin">
        <color indexed="64"/>
      </right>
      <top/>
      <bottom style="medium">
        <color indexed="8"/>
      </bottom>
      <diagonal/>
    </border>
    <border>
      <left style="thin">
        <color indexed="64"/>
      </left>
      <right/>
      <top style="medium">
        <color indexed="64"/>
      </top>
      <bottom/>
      <diagonal/>
    </border>
    <border>
      <left style="thin">
        <color indexed="55"/>
      </left>
      <right style="thin">
        <color indexed="55"/>
      </right>
      <top style="medium">
        <color indexed="8"/>
      </top>
      <bottom/>
      <diagonal/>
    </border>
    <border>
      <left style="thin">
        <color indexed="55"/>
      </left>
      <right style="thin">
        <color indexed="64"/>
      </right>
      <top style="medium">
        <color indexed="8"/>
      </top>
      <bottom/>
      <diagonal/>
    </border>
    <border>
      <left style="thin">
        <color indexed="64"/>
      </left>
      <right/>
      <top/>
      <bottom style="thin">
        <color indexed="55"/>
      </bottom>
      <diagonal/>
    </border>
    <border>
      <left style="thin">
        <color indexed="55"/>
      </left>
      <right style="thin">
        <color indexed="55"/>
      </right>
      <top/>
      <bottom style="thin">
        <color indexed="55"/>
      </bottom>
      <diagonal/>
    </border>
    <border>
      <left style="thin">
        <color indexed="55"/>
      </left>
      <right style="thin">
        <color indexed="64"/>
      </right>
      <top/>
      <bottom style="thin">
        <color indexed="55"/>
      </bottom>
      <diagonal/>
    </border>
    <border>
      <left style="thin">
        <color indexed="64"/>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thin">
        <color indexed="64"/>
      </left>
      <right style="thin">
        <color indexed="55"/>
      </right>
      <top style="medium">
        <color indexed="64"/>
      </top>
      <bottom style="medium">
        <color indexed="64"/>
      </bottom>
      <diagonal/>
    </border>
    <border>
      <left style="thin">
        <color indexed="55"/>
      </left>
      <right style="thin">
        <color indexed="55"/>
      </right>
      <top style="medium">
        <color indexed="64"/>
      </top>
      <bottom style="medium">
        <color indexed="64"/>
      </bottom>
      <diagonal/>
    </border>
    <border>
      <left style="thin">
        <color indexed="55"/>
      </left>
      <right style="thin">
        <color indexed="55"/>
      </right>
      <top style="medium">
        <color indexed="8"/>
      </top>
      <bottom style="medium">
        <color indexed="8"/>
      </bottom>
      <diagonal/>
    </border>
    <border>
      <left style="thin">
        <color indexed="55"/>
      </left>
      <right style="thin">
        <color indexed="64"/>
      </right>
      <top style="medium">
        <color indexed="8"/>
      </top>
      <bottom style="medium">
        <color indexed="8"/>
      </bottom>
      <diagonal/>
    </border>
    <border>
      <left style="thin">
        <color indexed="55"/>
      </left>
      <right style="thin">
        <color indexed="55"/>
      </right>
      <top style="medium">
        <color indexed="64"/>
      </top>
      <bottom/>
      <diagonal/>
    </border>
    <border>
      <left style="thin">
        <color indexed="55"/>
      </left>
      <right style="thin">
        <color indexed="64"/>
      </right>
      <top/>
      <bottom/>
      <diagonal/>
    </border>
    <border>
      <left style="thin">
        <color indexed="64"/>
      </left>
      <right/>
      <top style="thin">
        <color indexed="55"/>
      </top>
      <bottom style="thin">
        <color indexed="55"/>
      </bottom>
      <diagonal/>
    </border>
    <border>
      <left style="thin">
        <color indexed="64"/>
      </left>
      <right style="thin">
        <color indexed="55"/>
      </right>
      <top style="thin">
        <color indexed="55"/>
      </top>
      <bottom style="medium">
        <color indexed="64"/>
      </bottom>
      <diagonal/>
    </border>
    <border>
      <left style="thin">
        <color indexed="64"/>
      </left>
      <right/>
      <top style="thin">
        <color indexed="55"/>
      </top>
      <bottom/>
      <diagonal/>
    </border>
    <border>
      <left style="thin">
        <color indexed="64"/>
      </left>
      <right/>
      <top style="medium">
        <color indexed="64"/>
      </top>
      <bottom style="medium">
        <color indexed="64"/>
      </bottom>
      <diagonal/>
    </border>
    <border>
      <left style="thin">
        <color indexed="55"/>
      </left>
      <right style="thin">
        <color indexed="64"/>
      </right>
      <top style="medium">
        <color indexed="64"/>
      </top>
      <bottom style="medium">
        <color indexed="64"/>
      </bottom>
      <diagonal/>
    </border>
    <border>
      <left style="thin">
        <color indexed="55"/>
      </left>
      <right style="thin">
        <color indexed="64"/>
      </right>
      <top style="medium">
        <color indexed="64"/>
      </top>
      <bottom/>
      <diagonal/>
    </border>
    <border>
      <left style="thin">
        <color indexed="64"/>
      </left>
      <right style="thin">
        <color indexed="55"/>
      </right>
      <top/>
      <bottom/>
      <diagonal/>
    </border>
    <border>
      <left style="thin">
        <color indexed="64"/>
      </left>
      <right/>
      <top/>
      <bottom style="medium">
        <color indexed="64"/>
      </bottom>
      <diagonal/>
    </border>
    <border>
      <left style="thin">
        <color indexed="55"/>
      </left>
      <right style="thin">
        <color indexed="55"/>
      </right>
      <top/>
      <bottom style="medium">
        <color indexed="64"/>
      </bottom>
      <diagonal/>
    </border>
    <border>
      <left style="thin">
        <color indexed="55"/>
      </left>
      <right style="thin">
        <color indexed="64"/>
      </right>
      <top/>
      <bottom style="medium">
        <color indexed="64"/>
      </bottom>
      <diagonal/>
    </border>
    <border>
      <left style="thin">
        <color indexed="55"/>
      </left>
      <right style="thin">
        <color indexed="55"/>
      </right>
      <top style="thin">
        <color indexed="8"/>
      </top>
      <bottom/>
      <diagonal/>
    </border>
    <border>
      <left style="thin">
        <color indexed="55"/>
      </left>
      <right/>
      <top/>
      <bottom/>
      <diagonal/>
    </border>
    <border>
      <left style="thin">
        <color indexed="55"/>
      </left>
      <right/>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style="thin">
        <color indexed="55"/>
      </right>
      <top/>
      <bottom/>
      <diagonal/>
    </border>
    <border>
      <left style="thin">
        <color indexed="64"/>
      </left>
      <right style="thin">
        <color indexed="55"/>
      </right>
      <top/>
      <bottom style="thin">
        <color indexed="55"/>
      </bottom>
      <diagonal/>
    </border>
    <border>
      <left style="thin">
        <color indexed="55"/>
      </left>
      <right style="thin">
        <color indexed="55"/>
      </right>
      <top style="thin">
        <color indexed="55"/>
      </top>
      <bottom/>
      <diagonal/>
    </border>
    <border>
      <left style="thin">
        <color indexed="55"/>
      </left>
      <right/>
      <top style="thin">
        <color indexed="55"/>
      </top>
      <bottom/>
      <diagonal/>
    </border>
  </borders>
  <cellStyleXfs count="77">
    <xf numFmtId="0" fontId="0" fillId="0" borderId="0"/>
    <xf numFmtId="0" fontId="32" fillId="2" borderId="0" applyNumberFormat="0" applyBorder="0" applyAlignment="0" applyProtection="0"/>
    <xf numFmtId="0" fontId="32" fillId="3" borderId="0" applyNumberFormat="0" applyBorder="0" applyAlignment="0" applyProtection="0"/>
    <xf numFmtId="0" fontId="32" fillId="3" borderId="0" applyNumberFormat="0" applyBorder="0" applyAlignment="0" applyProtection="0"/>
    <xf numFmtId="0" fontId="32" fillId="4" borderId="0" applyNumberFormat="0" applyBorder="0" applyAlignment="0" applyProtection="0"/>
    <xf numFmtId="0" fontId="32" fillId="2"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3"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3" fillId="6" borderId="0" applyNumberFormat="0" applyBorder="0" applyAlignment="0" applyProtection="0"/>
    <xf numFmtId="0" fontId="33" fillId="3" borderId="0" applyNumberFormat="0" applyBorder="0" applyAlignment="0" applyProtection="0"/>
    <xf numFmtId="0" fontId="33" fillId="9" borderId="0" applyNumberFormat="0" applyBorder="0" applyAlignment="0" applyProtection="0"/>
    <xf numFmtId="0" fontId="33" fillId="8" borderId="0" applyNumberFormat="0" applyBorder="0" applyAlignment="0" applyProtection="0"/>
    <xf numFmtId="0" fontId="33" fillId="6" borderId="0" applyNumberFormat="0" applyBorder="0" applyAlignment="0" applyProtection="0"/>
    <xf numFmtId="0" fontId="33" fillId="10" borderId="0" applyNumberFormat="0" applyBorder="0" applyAlignment="0" applyProtection="0"/>
    <xf numFmtId="0" fontId="33" fillId="11" borderId="0" applyNumberFormat="0" applyBorder="0" applyAlignment="0" applyProtection="0"/>
    <xf numFmtId="0" fontId="33" fillId="12" borderId="0" applyNumberFormat="0" applyBorder="0" applyAlignment="0" applyProtection="0"/>
    <xf numFmtId="0" fontId="33" fillId="9"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37" fontId="2" fillId="16" borderId="1" applyBorder="0" applyProtection="0">
      <alignment vertical="center"/>
    </xf>
    <xf numFmtId="0" fontId="34" fillId="17" borderId="0" applyNumberFormat="0" applyBorder="0" applyAlignment="0" applyProtection="0"/>
    <xf numFmtId="164" fontId="22" fillId="0" borderId="2">
      <protection locked="0"/>
    </xf>
    <xf numFmtId="0" fontId="3" fillId="18" borderId="0" applyBorder="0">
      <alignment horizontal="left" vertical="center" indent="1"/>
    </xf>
    <xf numFmtId="0" fontId="35" fillId="4" borderId="3" applyNumberFormat="0" applyAlignment="0" applyProtection="0"/>
    <xf numFmtId="0" fontId="36"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23" fillId="0" borderId="5"/>
    <xf numFmtId="4" fontId="22" fillId="20" borderId="5">
      <protection locked="0"/>
    </xf>
    <xf numFmtId="0" fontId="1" fillId="0" borderId="0" applyFont="0" applyFill="0" applyBorder="0" applyAlignment="0" applyProtection="0"/>
    <xf numFmtId="170" fontId="1" fillId="0" borderId="0" applyFont="0" applyFill="0" applyBorder="0" applyAlignment="0" applyProtection="0"/>
    <xf numFmtId="172" fontId="1" fillId="0" borderId="0" applyFont="0" applyFill="0" applyBorder="0" applyAlignment="0" applyProtection="0"/>
    <xf numFmtId="0" fontId="37" fillId="0" borderId="0" applyNumberFormat="0" applyFill="0" applyBorder="0" applyAlignment="0" applyProtection="0"/>
    <xf numFmtId="2" fontId="1" fillId="0" borderId="0" applyFont="0" applyFill="0" applyBorder="0" applyAlignment="0" applyProtection="0"/>
    <xf numFmtId="0" fontId="38" fillId="6" borderId="0" applyNumberFormat="0" applyBorder="0" applyAlignment="0" applyProtection="0"/>
    <xf numFmtId="4" fontId="22" fillId="21" borderId="5"/>
    <xf numFmtId="167" fontId="24" fillId="0" borderId="6"/>
    <xf numFmtId="37" fontId="4" fillId="22" borderId="2" applyBorder="0">
      <alignment horizontal="left" vertical="center" indent="1"/>
    </xf>
    <xf numFmtId="37" fontId="5" fillId="23" borderId="7" applyFill="0">
      <alignment vertical="center"/>
    </xf>
    <xf numFmtId="0" fontId="5" fillId="24" borderId="8" applyNumberFormat="0">
      <alignment horizontal="left" vertical="top" indent="1"/>
    </xf>
    <xf numFmtId="0" fontId="5" fillId="16" borderId="0" applyBorder="0">
      <alignment horizontal="left" vertical="center" indent="1"/>
    </xf>
    <xf numFmtId="0" fontId="5" fillId="0" borderId="8" applyNumberFormat="0" applyFill="0">
      <alignment horizontal="centerContinuous" vertical="top"/>
    </xf>
    <xf numFmtId="0" fontId="25" fillId="0" borderId="0" applyNumberFormat="0" applyFont="0" applyFill="0" applyAlignment="0" applyProtection="0"/>
    <xf numFmtId="0" fontId="26" fillId="0" borderId="0" applyNumberFormat="0" applyFont="0" applyFill="0" applyAlignment="0" applyProtection="0"/>
    <xf numFmtId="0" fontId="39" fillId="0" borderId="9" applyNumberFormat="0" applyFill="0" applyAlignment="0" applyProtection="0"/>
    <xf numFmtId="0" fontId="39" fillId="0" borderId="0" applyNumberFormat="0" applyFill="0" applyBorder="0" applyAlignment="0" applyProtection="0"/>
    <xf numFmtId="0" fontId="21" fillId="0" borderId="0" applyNumberFormat="0" applyFill="0" applyBorder="0" applyAlignment="0" applyProtection="0">
      <alignment vertical="top"/>
      <protection locked="0"/>
    </xf>
    <xf numFmtId="0" fontId="40" fillId="10" borderId="3" applyNumberFormat="0" applyAlignment="0" applyProtection="0"/>
    <xf numFmtId="167" fontId="24" fillId="0" borderId="10"/>
    <xf numFmtId="0" fontId="41" fillId="0" borderId="11" applyNumberFormat="0" applyFill="0" applyAlignment="0" applyProtection="0"/>
    <xf numFmtId="166" fontId="24" fillId="0" borderId="12"/>
    <xf numFmtId="0" fontId="42" fillId="7" borderId="0" applyNumberFormat="0" applyBorder="0" applyAlignment="0" applyProtection="0"/>
    <xf numFmtId="0" fontId="6" fillId="23" borderId="0">
      <alignment horizontal="left" wrapText="1" indent="1"/>
    </xf>
    <xf numFmtId="37" fontId="2" fillId="16" borderId="13" applyBorder="0">
      <alignment horizontal="left" vertical="center" indent="2"/>
    </xf>
    <xf numFmtId="0" fontId="7" fillId="0" borderId="0"/>
    <xf numFmtId="0" fontId="27" fillId="0" borderId="0"/>
    <xf numFmtId="0" fontId="1" fillId="7" borderId="14" applyNumberFormat="0" applyFont="0" applyAlignment="0" applyProtection="0"/>
    <xf numFmtId="0" fontId="43" fillId="4" borderId="15" applyNumberFormat="0" applyAlignment="0" applyProtection="0"/>
    <xf numFmtId="9" fontId="1" fillId="0" borderId="0" applyFont="0" applyFill="0" applyBorder="0" applyAlignment="0" applyProtection="0"/>
    <xf numFmtId="174" fontId="28" fillId="25" borderId="16"/>
    <xf numFmtId="173" fontId="28" fillId="0" borderId="16" applyFont="0" applyFill="0" applyBorder="0" applyAlignment="0" applyProtection="0">
      <protection locked="0"/>
    </xf>
    <xf numFmtId="2" fontId="29" fillId="0" borderId="0">
      <protection locked="0"/>
    </xf>
    <xf numFmtId="0" fontId="1" fillId="26" borderId="0"/>
    <xf numFmtId="49" fontId="1" fillId="0" borderId="0" applyFont="0" applyFill="0" applyBorder="0" applyAlignment="0" applyProtection="0"/>
    <xf numFmtId="0" fontId="44" fillId="0" borderId="0" applyNumberFormat="0" applyFill="0" applyBorder="0" applyAlignment="0" applyProtection="0"/>
    <xf numFmtId="0" fontId="30" fillId="0" borderId="0">
      <alignment horizontal="right"/>
    </xf>
    <xf numFmtId="0" fontId="31" fillId="0" borderId="0"/>
    <xf numFmtId="0" fontId="1" fillId="0" borderId="17" applyNumberFormat="0" applyFont="0" applyBorder="0" applyAlignment="0" applyProtection="0"/>
    <xf numFmtId="169" fontId="1" fillId="0" borderId="0" applyFont="0" applyFill="0" applyBorder="0" applyAlignment="0" applyProtection="0"/>
    <xf numFmtId="171" fontId="1" fillId="0" borderId="0" applyFont="0" applyFill="0" applyBorder="0" applyAlignment="0" applyProtection="0"/>
    <xf numFmtId="0" fontId="45" fillId="0" borderId="0" applyNumberFormat="0" applyFill="0" applyBorder="0" applyAlignment="0" applyProtection="0"/>
  </cellStyleXfs>
  <cellXfs count="188">
    <xf numFmtId="0" fontId="0" fillId="0" borderId="0" xfId="0"/>
    <xf numFmtId="0" fontId="8" fillId="0" borderId="0" xfId="0" applyFont="1"/>
    <xf numFmtId="0" fontId="8" fillId="0" borderId="0" xfId="60" applyFont="1"/>
    <xf numFmtId="1" fontId="8" fillId="0" borderId="0" xfId="60" applyNumberFormat="1" applyFont="1"/>
    <xf numFmtId="0" fontId="8" fillId="0" borderId="18" xfId="60" applyFont="1" applyBorder="1"/>
    <xf numFmtId="0" fontId="8" fillId="0" borderId="0" xfId="0" applyFont="1" applyAlignment="1">
      <alignment horizontal="left"/>
    </xf>
    <xf numFmtId="165" fontId="8" fillId="0" borderId="0" xfId="0" applyNumberFormat="1" applyFont="1"/>
    <xf numFmtId="0" fontId="8" fillId="27" borderId="0" xfId="0" applyFont="1" applyFill="1"/>
    <xf numFmtId="0" fontId="8" fillId="27" borderId="0" xfId="60" applyFont="1" applyFill="1"/>
    <xf numFmtId="1" fontId="8" fillId="27" borderId="0" xfId="60" applyNumberFormat="1" applyFont="1" applyFill="1"/>
    <xf numFmtId="165" fontId="8" fillId="27" borderId="0" xfId="0" applyNumberFormat="1" applyFont="1" applyFill="1"/>
    <xf numFmtId="165" fontId="8" fillId="27" borderId="0" xfId="60" applyNumberFormat="1" applyFont="1" applyFill="1"/>
    <xf numFmtId="165" fontId="8" fillId="27" borderId="18" xfId="60" applyNumberFormat="1" applyFont="1" applyFill="1" applyBorder="1"/>
    <xf numFmtId="165" fontId="8" fillId="0" borderId="0" xfId="60" applyNumberFormat="1" applyFont="1"/>
    <xf numFmtId="165" fontId="8" fillId="0" borderId="18" xfId="60" applyNumberFormat="1" applyFont="1" applyBorder="1"/>
    <xf numFmtId="14" fontId="8" fillId="0" borderId="0" xfId="60" applyNumberFormat="1" applyFont="1"/>
    <xf numFmtId="14" fontId="8" fillId="0" borderId="18" xfId="60" applyNumberFormat="1" applyFont="1" applyBorder="1"/>
    <xf numFmtId="0" fontId="8" fillId="27" borderId="0" xfId="0" applyFont="1" applyFill="1" applyBorder="1"/>
    <xf numFmtId="0" fontId="8" fillId="27" borderId="19" xfId="0" applyFont="1" applyFill="1" applyBorder="1"/>
    <xf numFmtId="165" fontId="8" fillId="27" borderId="19" xfId="0" applyNumberFormat="1" applyFont="1" applyFill="1" applyBorder="1"/>
    <xf numFmtId="165" fontId="8" fillId="27" borderId="20" xfId="0" applyNumberFormat="1" applyFont="1" applyFill="1" applyBorder="1"/>
    <xf numFmtId="165" fontId="8" fillId="27" borderId="18" xfId="0" applyNumberFormat="1" applyFont="1" applyFill="1" applyBorder="1"/>
    <xf numFmtId="165" fontId="8" fillId="0" borderId="18" xfId="0" applyNumberFormat="1" applyFont="1" applyBorder="1"/>
    <xf numFmtId="0" fontId="8" fillId="0" borderId="0" xfId="60" applyFont="1" applyFill="1"/>
    <xf numFmtId="49" fontId="9" fillId="0" borderId="0" xfId="0" applyNumberFormat="1" applyFont="1" applyAlignment="1">
      <alignment horizontal="centerContinuous"/>
    </xf>
    <xf numFmtId="0" fontId="8" fillId="0" borderId="0" xfId="60" applyFont="1" applyAlignment="1">
      <alignment horizontal="centerContinuous"/>
    </xf>
    <xf numFmtId="1" fontId="8" fillId="0" borderId="0" xfId="60" applyNumberFormat="1" applyFont="1" applyAlignment="1">
      <alignment horizontal="centerContinuous"/>
    </xf>
    <xf numFmtId="0" fontId="9" fillId="28" borderId="21" xfId="0" applyFont="1" applyFill="1" applyBorder="1" applyProtection="1">
      <protection hidden="1"/>
    </xf>
    <xf numFmtId="0" fontId="9" fillId="28" borderId="22" xfId="60" applyFont="1" applyFill="1" applyBorder="1" applyAlignment="1" applyProtection="1">
      <alignment horizontal="centerContinuous"/>
      <protection hidden="1"/>
    </xf>
    <xf numFmtId="1" fontId="9" fillId="28" borderId="23" xfId="60" applyNumberFormat="1" applyFont="1" applyFill="1" applyBorder="1" applyAlignment="1" applyProtection="1">
      <alignment horizontal="centerContinuous"/>
      <protection hidden="1"/>
    </xf>
    <xf numFmtId="0" fontId="9" fillId="28" borderId="23" xfId="60" applyFont="1" applyFill="1" applyBorder="1" applyAlignment="1" applyProtection="1">
      <alignment horizontal="centerContinuous"/>
      <protection hidden="1"/>
    </xf>
    <xf numFmtId="0" fontId="9" fillId="28" borderId="24" xfId="60" applyFont="1" applyFill="1" applyBorder="1" applyAlignment="1" applyProtection="1">
      <alignment horizontal="centerContinuous"/>
      <protection hidden="1"/>
    </xf>
    <xf numFmtId="0" fontId="10" fillId="0" borderId="0" xfId="60" applyFont="1"/>
    <xf numFmtId="167" fontId="11" fillId="29" borderId="2" xfId="0" applyNumberFormat="1" applyFont="1" applyFill="1" applyBorder="1" applyAlignment="1" applyProtection="1">
      <alignment horizontal="left"/>
      <protection hidden="1"/>
    </xf>
    <xf numFmtId="167" fontId="11" fillId="29" borderId="0" xfId="0" applyNumberFormat="1" applyFont="1" applyFill="1" applyBorder="1" applyAlignment="1" applyProtection="1">
      <alignment horizontal="left"/>
      <protection hidden="1"/>
    </xf>
    <xf numFmtId="0" fontId="10" fillId="30" borderId="0" xfId="0" applyFont="1" applyFill="1" applyBorder="1" applyAlignment="1" applyProtection="1">
      <alignment horizontal="left"/>
      <protection hidden="1"/>
    </xf>
    <xf numFmtId="167" fontId="8" fillId="0" borderId="0" xfId="0" applyNumberFormat="1" applyFont="1" applyBorder="1" applyProtection="1">
      <protection hidden="1"/>
    </xf>
    <xf numFmtId="167" fontId="8" fillId="0" borderId="25" xfId="0" applyNumberFormat="1" applyFont="1" applyBorder="1" applyProtection="1">
      <protection hidden="1"/>
    </xf>
    <xf numFmtId="2" fontId="10" fillId="0" borderId="0" xfId="60" applyNumberFormat="1" applyFont="1"/>
    <xf numFmtId="0" fontId="8" fillId="28" borderId="26" xfId="0" applyFont="1" applyFill="1" applyBorder="1" applyAlignment="1" applyProtection="1">
      <alignment horizontal="left"/>
      <protection hidden="1"/>
    </xf>
    <xf numFmtId="0" fontId="8" fillId="28" borderId="27" xfId="0" applyFont="1" applyFill="1" applyBorder="1" applyAlignment="1" applyProtection="1">
      <alignment horizontal="left"/>
      <protection hidden="1"/>
    </xf>
    <xf numFmtId="0" fontId="8" fillId="23" borderId="27" xfId="0" applyFont="1" applyFill="1" applyBorder="1" applyAlignment="1" applyProtection="1">
      <alignment horizontal="left"/>
      <protection hidden="1"/>
    </xf>
    <xf numFmtId="167" fontId="8" fillId="28" borderId="27" xfId="0" applyNumberFormat="1" applyFont="1" applyFill="1" applyBorder="1" applyProtection="1">
      <protection hidden="1"/>
    </xf>
    <xf numFmtId="167" fontId="8" fillId="28" borderId="28" xfId="0" applyNumberFormat="1" applyFont="1" applyFill="1" applyBorder="1" applyProtection="1">
      <protection hidden="1"/>
    </xf>
    <xf numFmtId="0" fontId="8" fillId="16" borderId="2" xfId="0" applyFont="1" applyFill="1" applyBorder="1" applyAlignment="1" applyProtection="1">
      <alignment horizontal="left"/>
      <protection hidden="1"/>
    </xf>
    <xf numFmtId="0" fontId="8" fillId="16" borderId="0" xfId="0" applyFont="1" applyFill="1" applyBorder="1" applyAlignment="1" applyProtection="1">
      <alignment horizontal="left"/>
      <protection hidden="1"/>
    </xf>
    <xf numFmtId="167" fontId="8" fillId="16" borderId="0" xfId="0" applyNumberFormat="1" applyFont="1" applyFill="1" applyBorder="1" applyProtection="1">
      <protection hidden="1"/>
    </xf>
    <xf numFmtId="167" fontId="8" fillId="16" borderId="25" xfId="0" applyNumberFormat="1" applyFont="1" applyFill="1" applyBorder="1" applyProtection="1">
      <protection hidden="1"/>
    </xf>
    <xf numFmtId="167" fontId="10" fillId="16" borderId="0" xfId="0" applyNumberFormat="1" applyFont="1" applyFill="1" applyBorder="1"/>
    <xf numFmtId="167" fontId="8" fillId="16" borderId="27" xfId="0" applyNumberFormat="1" applyFont="1" applyFill="1" applyBorder="1" applyProtection="1">
      <protection hidden="1"/>
    </xf>
    <xf numFmtId="167" fontId="8" fillId="16" borderId="28" xfId="0" applyNumberFormat="1" applyFont="1" applyFill="1" applyBorder="1" applyProtection="1">
      <protection hidden="1"/>
    </xf>
    <xf numFmtId="167" fontId="8" fillId="0" borderId="0" xfId="0" applyNumberFormat="1" applyFont="1" applyBorder="1" applyAlignment="1" applyProtection="1">
      <alignment wrapText="1"/>
      <protection hidden="1"/>
    </xf>
    <xf numFmtId="167" fontId="8" fillId="0" borderId="25" xfId="0" applyNumberFormat="1" applyFont="1" applyBorder="1" applyAlignment="1" applyProtection="1">
      <alignment wrapText="1"/>
      <protection hidden="1"/>
    </xf>
    <xf numFmtId="175" fontId="8" fillId="28" borderId="27" xfId="0" applyNumberFormat="1" applyFont="1" applyFill="1" applyBorder="1" applyProtection="1">
      <protection hidden="1"/>
    </xf>
    <xf numFmtId="175" fontId="8" fillId="28" borderId="28" xfId="0" applyNumberFormat="1" applyFont="1" applyFill="1" applyBorder="1" applyProtection="1">
      <protection hidden="1"/>
    </xf>
    <xf numFmtId="9" fontId="10" fillId="0" borderId="0" xfId="64" applyFont="1"/>
    <xf numFmtId="175" fontId="8" fillId="16" borderId="27" xfId="0" applyNumberFormat="1" applyFont="1" applyFill="1" applyBorder="1" applyProtection="1">
      <protection hidden="1"/>
    </xf>
    <xf numFmtId="175" fontId="8" fillId="16" borderId="28" xfId="0" applyNumberFormat="1" applyFont="1" applyFill="1" applyBorder="1" applyProtection="1">
      <protection hidden="1"/>
    </xf>
    <xf numFmtId="9" fontId="8" fillId="16" borderId="0" xfId="64" applyFont="1" applyFill="1" applyBorder="1" applyProtection="1">
      <protection hidden="1"/>
    </xf>
    <xf numFmtId="9" fontId="8" fillId="16" borderId="25" xfId="64" applyFont="1" applyFill="1" applyBorder="1" applyProtection="1">
      <protection hidden="1"/>
    </xf>
    <xf numFmtId="9" fontId="8" fillId="28" borderId="27" xfId="64" applyFont="1" applyFill="1" applyBorder="1" applyProtection="1">
      <protection hidden="1"/>
    </xf>
    <xf numFmtId="9" fontId="8" fillId="28" borderId="28" xfId="64" applyFont="1" applyFill="1" applyBorder="1" applyProtection="1">
      <protection hidden="1"/>
    </xf>
    <xf numFmtId="0" fontId="8" fillId="28" borderId="29" xfId="0" applyFont="1" applyFill="1" applyBorder="1" applyAlignment="1" applyProtection="1">
      <alignment horizontal="left"/>
      <protection hidden="1"/>
    </xf>
    <xf numFmtId="0" fontId="8" fillId="28" borderId="30" xfId="0" applyFont="1" applyFill="1" applyBorder="1" applyAlignment="1" applyProtection="1">
      <alignment horizontal="left"/>
      <protection hidden="1"/>
    </xf>
    <xf numFmtId="0" fontId="8" fillId="23" borderId="30" xfId="0" applyFont="1" applyFill="1" applyBorder="1" applyAlignment="1" applyProtection="1">
      <alignment horizontal="left"/>
      <protection hidden="1"/>
    </xf>
    <xf numFmtId="167" fontId="8" fillId="28" borderId="30" xfId="0" applyNumberFormat="1" applyFont="1" applyFill="1" applyBorder="1" applyProtection="1">
      <protection hidden="1"/>
    </xf>
    <xf numFmtId="167" fontId="8" fillId="28" borderId="31" xfId="0" applyNumberFormat="1" applyFont="1" applyFill="1" applyBorder="1" applyProtection="1">
      <protection hidden="1"/>
    </xf>
    <xf numFmtId="0" fontId="0" fillId="16" borderId="0" xfId="0" applyFill="1"/>
    <xf numFmtId="0" fontId="0" fillId="16" borderId="0" xfId="0" applyFill="1" applyBorder="1"/>
    <xf numFmtId="0" fontId="0" fillId="16" borderId="2" xfId="0" applyFill="1" applyBorder="1" applyAlignment="1" applyProtection="1">
      <alignment horizontal="left"/>
      <protection locked="0"/>
    </xf>
    <xf numFmtId="0" fontId="0" fillId="16" borderId="40" xfId="0" applyFill="1" applyBorder="1"/>
    <xf numFmtId="0" fontId="5" fillId="31" borderId="41" xfId="47" applyFill="1" applyBorder="1">
      <alignment horizontal="centerContinuous" vertical="top"/>
    </xf>
    <xf numFmtId="168" fontId="5" fillId="24" borderId="42" xfId="45" applyNumberFormat="1" applyBorder="1" applyProtection="1">
      <alignment horizontal="left" vertical="top" indent="1"/>
      <protection locked="0"/>
    </xf>
    <xf numFmtId="0" fontId="5" fillId="32" borderId="43" xfId="47" applyFont="1" applyFill="1" applyBorder="1" applyProtection="1">
      <alignment horizontal="centerContinuous" vertical="top"/>
      <protection locked="0"/>
    </xf>
    <xf numFmtId="0" fontId="5" fillId="31" borderId="43" xfId="47" applyFont="1" applyFill="1" applyBorder="1" applyProtection="1">
      <alignment horizontal="centerContinuous" vertical="top"/>
      <protection hidden="1"/>
    </xf>
    <xf numFmtId="0" fontId="5" fillId="31" borderId="44" xfId="47" applyFill="1" applyBorder="1">
      <alignment horizontal="centerContinuous" vertical="top"/>
    </xf>
    <xf numFmtId="0" fontId="5" fillId="24" borderId="45" xfId="45" applyBorder="1" applyProtection="1">
      <alignment horizontal="left" vertical="top" indent="1"/>
      <protection locked="0"/>
    </xf>
    <xf numFmtId="0" fontId="5" fillId="16" borderId="46" xfId="47" applyFill="1" applyBorder="1">
      <alignment horizontal="centerContinuous" vertical="top"/>
    </xf>
    <xf numFmtId="0" fontId="5" fillId="16" borderId="47" xfId="47" applyFill="1" applyBorder="1">
      <alignment horizontal="centerContinuous" vertical="top"/>
    </xf>
    <xf numFmtId="0" fontId="5" fillId="24" borderId="48" xfId="45" applyBorder="1">
      <alignment horizontal="left" vertical="top" indent="1"/>
    </xf>
    <xf numFmtId="0" fontId="0" fillId="16" borderId="49" xfId="0" applyFill="1" applyBorder="1"/>
    <xf numFmtId="0" fontId="0" fillId="16" borderId="50" xfId="0" applyFill="1" applyBorder="1"/>
    <xf numFmtId="0" fontId="13" fillId="16" borderId="0" xfId="0" applyFont="1" applyFill="1" applyBorder="1"/>
    <xf numFmtId="37" fontId="14" fillId="16" borderId="51" xfId="59" applyFont="1" applyBorder="1">
      <alignment horizontal="left" vertical="center" indent="2"/>
    </xf>
    <xf numFmtId="37" fontId="5" fillId="28" borderId="52" xfId="44" applyFont="1" applyFill="1" applyBorder="1">
      <alignment vertical="center"/>
    </xf>
    <xf numFmtId="0" fontId="13" fillId="0" borderId="0" xfId="0" applyFont="1"/>
    <xf numFmtId="37" fontId="5" fillId="31" borderId="53" xfId="45" applyNumberFormat="1" applyFont="1" applyFill="1" applyBorder="1">
      <alignment horizontal="left" vertical="top" indent="1"/>
    </xf>
    <xf numFmtId="37" fontId="5" fillId="28" borderId="54" xfId="44" applyFont="1" applyFill="1" applyBorder="1">
      <alignment vertical="center"/>
    </xf>
    <xf numFmtId="37" fontId="5" fillId="28" borderId="55" xfId="44" applyFont="1" applyFill="1" applyBorder="1" applyAlignment="1">
      <alignment vertical="center"/>
    </xf>
    <xf numFmtId="37" fontId="5" fillId="28" borderId="56" xfId="44" applyFont="1" applyFill="1" applyBorder="1" applyAlignment="1">
      <alignment vertical="center"/>
    </xf>
    <xf numFmtId="37" fontId="5" fillId="16" borderId="2" xfId="44" applyFont="1" applyFill="1" applyBorder="1">
      <alignment vertical="center"/>
    </xf>
    <xf numFmtId="37" fontId="14" fillId="16" borderId="57" xfId="25" applyFont="1" applyBorder="1">
      <alignment vertical="center"/>
    </xf>
    <xf numFmtId="37" fontId="14" fillId="16" borderId="40" xfId="25" applyFont="1" applyBorder="1">
      <alignment vertical="center"/>
    </xf>
    <xf numFmtId="37" fontId="14" fillId="16" borderId="58" xfId="25" applyFont="1" applyBorder="1">
      <alignment vertical="center"/>
    </xf>
    <xf numFmtId="0" fontId="15" fillId="16" borderId="48" xfId="46" applyFont="1" applyBorder="1">
      <alignment horizontal="left" vertical="center" indent="1"/>
    </xf>
    <xf numFmtId="37" fontId="14" fillId="16" borderId="49" xfId="25" applyFont="1" applyBorder="1">
      <alignment vertical="center"/>
    </xf>
    <xf numFmtId="37" fontId="14" fillId="16" borderId="50" xfId="25" applyFont="1" applyBorder="1">
      <alignment vertical="center"/>
    </xf>
    <xf numFmtId="37" fontId="14" fillId="16" borderId="2" xfId="59" applyFont="1" applyBorder="1">
      <alignment horizontal="left" vertical="center" indent="2"/>
    </xf>
    <xf numFmtId="37" fontId="14" fillId="16" borderId="59" xfId="59" applyFont="1" applyBorder="1">
      <alignment horizontal="left" vertical="center" indent="2"/>
    </xf>
    <xf numFmtId="37" fontId="14" fillId="16" borderId="60" xfId="59" applyFont="1" applyBorder="1">
      <alignment horizontal="left" vertical="center" indent="2"/>
    </xf>
    <xf numFmtId="37" fontId="5" fillId="24" borderId="45" xfId="45" applyNumberFormat="1" applyBorder="1">
      <alignment horizontal="left" vertical="top" indent="1"/>
    </xf>
    <xf numFmtId="37" fontId="5" fillId="16" borderId="46" xfId="44" applyFill="1" applyBorder="1" applyAlignment="1">
      <alignment vertical="center"/>
    </xf>
    <xf numFmtId="37" fontId="5" fillId="16" borderId="47" xfId="44" applyFill="1" applyBorder="1" applyAlignment="1">
      <alignment vertical="center"/>
    </xf>
    <xf numFmtId="37" fontId="2" fillId="16" borderId="2" xfId="59" applyFont="1" applyFill="1" applyBorder="1">
      <alignment horizontal="left" vertical="center" indent="2"/>
    </xf>
    <xf numFmtId="37" fontId="16" fillId="16" borderId="40" xfId="25" applyFont="1" applyFill="1" applyBorder="1">
      <alignment vertical="center"/>
    </xf>
    <xf numFmtId="37" fontId="2" fillId="16" borderId="40" xfId="25" applyFill="1" applyBorder="1">
      <alignment vertical="center"/>
    </xf>
    <xf numFmtId="37" fontId="2" fillId="16" borderId="58" xfId="25" applyFill="1" applyBorder="1">
      <alignment vertical="center"/>
    </xf>
    <xf numFmtId="0" fontId="5" fillId="16" borderId="2" xfId="46" applyFont="1" applyBorder="1">
      <alignment horizontal="left" vertical="center" indent="1"/>
    </xf>
    <xf numFmtId="37" fontId="14" fillId="16" borderId="61" xfId="59" applyFont="1" applyBorder="1">
      <alignment horizontal="left" vertical="center" indent="2"/>
    </xf>
    <xf numFmtId="37" fontId="14" fillId="16" borderId="59" xfId="59" applyFont="1" applyBorder="1" applyAlignment="1">
      <alignment horizontal="left" vertical="center" indent="2"/>
    </xf>
    <xf numFmtId="37" fontId="5" fillId="31" borderId="62" xfId="45" applyNumberFormat="1" applyFont="1" applyFill="1" applyBorder="1">
      <alignment horizontal="left" vertical="top" indent="1"/>
    </xf>
    <xf numFmtId="37" fontId="5" fillId="28" borderId="63" xfId="44" applyFont="1" applyFill="1" applyBorder="1">
      <alignment vertical="center"/>
    </xf>
    <xf numFmtId="37" fontId="5" fillId="16" borderId="57" xfId="44" applyFill="1" applyBorder="1">
      <alignment vertical="center"/>
    </xf>
    <xf numFmtId="37" fontId="5" fillId="16" borderId="64" xfId="44" applyFill="1" applyBorder="1">
      <alignment vertical="center"/>
    </xf>
    <xf numFmtId="37" fontId="2" fillId="16" borderId="65" xfId="59" applyFont="1" applyBorder="1">
      <alignment horizontal="left" vertical="center" indent="2"/>
    </xf>
    <xf numFmtId="37" fontId="16" fillId="16" borderId="40" xfId="25" applyFont="1" applyBorder="1">
      <alignment vertical="center"/>
    </xf>
    <xf numFmtId="37" fontId="2" fillId="16" borderId="40" xfId="25" applyBorder="1">
      <alignment vertical="center"/>
    </xf>
    <xf numFmtId="37" fontId="2" fillId="16" borderId="58" xfId="25" applyBorder="1">
      <alignment vertical="center"/>
    </xf>
    <xf numFmtId="37" fontId="14" fillId="16" borderId="65" xfId="59" applyFont="1" applyBorder="1">
      <alignment horizontal="left" vertical="center" indent="2"/>
    </xf>
    <xf numFmtId="37" fontId="5" fillId="28" borderId="58" xfId="44" applyFont="1" applyFill="1" applyBorder="1">
      <alignment vertical="center"/>
    </xf>
    <xf numFmtId="37" fontId="5" fillId="24" borderId="66" xfId="45" applyNumberFormat="1" applyBorder="1">
      <alignment horizontal="left" vertical="top" indent="1"/>
    </xf>
    <xf numFmtId="37" fontId="5" fillId="16" borderId="67" xfId="44" applyFill="1" applyBorder="1">
      <alignment vertical="center"/>
    </xf>
    <xf numFmtId="37" fontId="5" fillId="16" borderId="68" xfId="44" applyFill="1" applyBorder="1">
      <alignment vertical="center"/>
    </xf>
    <xf numFmtId="0" fontId="13" fillId="16" borderId="0" xfId="0" applyFont="1" applyFill="1"/>
    <xf numFmtId="37" fontId="5" fillId="24" borderId="53" xfId="45" applyNumberFormat="1" applyFont="1" applyBorder="1">
      <alignment horizontal="left" vertical="top" indent="1"/>
    </xf>
    <xf numFmtId="0" fontId="13" fillId="0" borderId="0" xfId="0" applyFont="1" applyFill="1"/>
    <xf numFmtId="0" fontId="0" fillId="0" borderId="0" xfId="0" applyFill="1" applyBorder="1"/>
    <xf numFmtId="0" fontId="5" fillId="16" borderId="2" xfId="45" applyFill="1" applyBorder="1">
      <alignment horizontal="left" vertical="top" indent="1"/>
    </xf>
    <xf numFmtId="37" fontId="5" fillId="16" borderId="40" xfId="44" applyFill="1" applyBorder="1">
      <alignment vertical="center"/>
    </xf>
    <xf numFmtId="37" fontId="5" fillId="16" borderId="58" xfId="44" applyFill="1" applyBorder="1">
      <alignment vertical="center"/>
    </xf>
    <xf numFmtId="0" fontId="17" fillId="16" borderId="0" xfId="0" applyFont="1" applyFill="1" applyBorder="1"/>
    <xf numFmtId="0" fontId="17" fillId="0" borderId="0" xfId="0" applyFont="1" applyFill="1" applyBorder="1"/>
    <xf numFmtId="37" fontId="4" fillId="16" borderId="2" xfId="43" applyFont="1" applyFill="1" applyBorder="1">
      <alignment horizontal="left" vertical="center" indent="1"/>
    </xf>
    <xf numFmtId="37" fontId="4" fillId="16" borderId="69" xfId="43" applyFill="1" applyBorder="1">
      <alignment horizontal="left" vertical="center" indent="1"/>
    </xf>
    <xf numFmtId="168" fontId="5" fillId="24" borderId="66" xfId="45" applyNumberFormat="1" applyFont="1" applyBorder="1">
      <alignment horizontal="left" vertical="top" indent="1"/>
    </xf>
    <xf numFmtId="0" fontId="5" fillId="24" borderId="43" xfId="47" applyFont="1" applyFill="1" applyBorder="1">
      <alignment horizontal="centerContinuous" vertical="top"/>
    </xf>
    <xf numFmtId="0" fontId="5" fillId="0" borderId="43" xfId="47" applyFont="1" applyBorder="1">
      <alignment horizontal="centerContinuous" vertical="top"/>
    </xf>
    <xf numFmtId="0" fontId="5" fillId="0" borderId="43" xfId="47" applyFont="1" applyBorder="1" applyAlignment="1">
      <alignment horizontal="center" vertical="top"/>
    </xf>
    <xf numFmtId="0" fontId="18" fillId="16" borderId="2" xfId="0" applyFont="1" applyFill="1" applyBorder="1" applyAlignment="1">
      <alignment horizontal="left"/>
    </xf>
    <xf numFmtId="0" fontId="0" fillId="16" borderId="70" xfId="0" applyFill="1" applyBorder="1"/>
    <xf numFmtId="0" fontId="5" fillId="16" borderId="2" xfId="46" applyBorder="1">
      <alignment horizontal="left" vertical="center" indent="1"/>
    </xf>
    <xf numFmtId="0" fontId="0" fillId="16" borderId="40" xfId="0" applyFill="1" applyBorder="1" applyAlignment="1">
      <alignment vertical="top"/>
    </xf>
    <xf numFmtId="0" fontId="5" fillId="24" borderId="49" xfId="45" applyBorder="1" applyAlignment="1">
      <alignment vertical="top"/>
    </xf>
    <xf numFmtId="0" fontId="5" fillId="24" borderId="49" xfId="45" applyBorder="1">
      <alignment horizontal="left" vertical="top" indent="1"/>
    </xf>
    <xf numFmtId="0" fontId="5" fillId="24" borderId="71" xfId="45" applyBorder="1">
      <alignment horizontal="left" vertical="top" indent="1"/>
    </xf>
    <xf numFmtId="37" fontId="2" fillId="16" borderId="59" xfId="59" applyBorder="1">
      <alignment horizontal="left" vertical="center" indent="2"/>
    </xf>
    <xf numFmtId="37" fontId="2" fillId="16" borderId="72" xfId="25" applyBorder="1">
      <alignment vertical="center"/>
    </xf>
    <xf numFmtId="37" fontId="2" fillId="16" borderId="73" xfId="25" applyBorder="1">
      <alignment vertical="center"/>
    </xf>
    <xf numFmtId="37" fontId="2" fillId="16" borderId="59" xfId="59" applyFont="1" applyBorder="1">
      <alignment horizontal="left" vertical="center" indent="2"/>
    </xf>
    <xf numFmtId="37" fontId="2" fillId="16" borderId="51" xfId="59" applyFont="1" applyBorder="1">
      <alignment horizontal="left" vertical="center" indent="2"/>
    </xf>
    <xf numFmtId="0" fontId="5" fillId="24" borderId="2" xfId="45" applyFill="1" applyBorder="1">
      <alignment horizontal="left" vertical="top" indent="1"/>
    </xf>
    <xf numFmtId="0" fontId="0" fillId="16" borderId="74" xfId="0" applyFill="1" applyBorder="1"/>
    <xf numFmtId="37" fontId="5" fillId="24" borderId="75" xfId="45" applyNumberFormat="1" applyBorder="1">
      <alignment horizontal="left" vertical="top" indent="1"/>
    </xf>
    <xf numFmtId="0" fontId="5" fillId="24" borderId="71" xfId="45" applyBorder="1" applyAlignment="1">
      <alignment vertical="top"/>
    </xf>
    <xf numFmtId="37" fontId="2" fillId="16" borderId="51" xfId="59" applyFont="1" applyBorder="1" applyAlignment="1">
      <alignment horizontal="left" vertical="center" indent="3"/>
    </xf>
    <xf numFmtId="37" fontId="20" fillId="16" borderId="72" xfId="25" applyFont="1" applyBorder="1">
      <alignment vertical="center"/>
    </xf>
    <xf numFmtId="37" fontId="20" fillId="16" borderId="49" xfId="25" applyFont="1" applyBorder="1">
      <alignment vertical="center"/>
    </xf>
    <xf numFmtId="37" fontId="20" fillId="16" borderId="76" xfId="25" applyFont="1" applyBorder="1">
      <alignment vertical="center"/>
    </xf>
    <xf numFmtId="37" fontId="20" fillId="16" borderId="40" xfId="25" applyFont="1" applyBorder="1">
      <alignment vertical="center"/>
    </xf>
    <xf numFmtId="37" fontId="20" fillId="16" borderId="73" xfId="25" applyFont="1" applyBorder="1">
      <alignment vertical="center"/>
    </xf>
    <xf numFmtId="37" fontId="20" fillId="16" borderId="77" xfId="25" applyFont="1" applyBorder="1">
      <alignment vertical="center"/>
    </xf>
    <xf numFmtId="37" fontId="20" fillId="16" borderId="71" xfId="25" applyFont="1" applyBorder="1">
      <alignment vertical="center"/>
    </xf>
    <xf numFmtId="0" fontId="21" fillId="0" borderId="0" xfId="52" applyAlignment="1" applyProtection="1">
      <alignment horizontal="centerContinuous" vertical="center"/>
    </xf>
    <xf numFmtId="0" fontId="46" fillId="33" borderId="32" xfId="0" applyFont="1" applyFill="1" applyBorder="1" applyAlignment="1"/>
    <xf numFmtId="0" fontId="46" fillId="33" borderId="33" xfId="0" applyFont="1" applyFill="1" applyBorder="1" applyAlignment="1"/>
    <xf numFmtId="0" fontId="46" fillId="33" borderId="34" xfId="0" applyFont="1" applyFill="1" applyBorder="1" applyAlignment="1"/>
    <xf numFmtId="0" fontId="47" fillId="33" borderId="35" xfId="58" applyFont="1" applyFill="1" applyBorder="1" applyAlignment="1">
      <alignment horizontal="left" indent="1"/>
    </xf>
    <xf numFmtId="0" fontId="48" fillId="33" borderId="0" xfId="0" applyFont="1" applyFill="1" applyBorder="1" applyAlignment="1">
      <alignment horizontal="left" indent="1"/>
    </xf>
    <xf numFmtId="0" fontId="48" fillId="33" borderId="36" xfId="0" applyFont="1" applyFill="1" applyBorder="1" applyAlignment="1">
      <alignment horizontal="left" indent="1"/>
    </xf>
    <xf numFmtId="0" fontId="49" fillId="33" borderId="37" xfId="28" applyFont="1" applyFill="1" applyBorder="1" applyAlignment="1">
      <alignment horizontal="left" vertical="center" indent="1"/>
    </xf>
    <xf numFmtId="0" fontId="49" fillId="33" borderId="38" xfId="28" applyFont="1" applyFill="1" applyBorder="1" applyAlignment="1">
      <alignment horizontal="left" vertical="center" indent="1"/>
    </xf>
    <xf numFmtId="0" fontId="49" fillId="33" borderId="39" xfId="28" applyFont="1" applyFill="1" applyBorder="1" applyAlignment="1">
      <alignment horizontal="left" vertical="center" indent="1"/>
    </xf>
    <xf numFmtId="0" fontId="46" fillId="33" borderId="32" xfId="0" applyFont="1" applyFill="1" applyBorder="1"/>
    <xf numFmtId="0" fontId="46" fillId="33" borderId="33" xfId="0" applyFont="1" applyFill="1" applyBorder="1"/>
    <xf numFmtId="0" fontId="46" fillId="33" borderId="34" xfId="0" applyFont="1" applyFill="1" applyBorder="1"/>
    <xf numFmtId="0" fontId="50" fillId="33" borderId="36" xfId="58" applyFont="1" applyFill="1" applyBorder="1" applyAlignment="1">
      <alignment horizontal="left" wrapText="1" indent="1"/>
    </xf>
    <xf numFmtId="0" fontId="49" fillId="33" borderId="37" xfId="28" applyFont="1" applyFill="1" applyBorder="1">
      <alignment horizontal="left" vertical="center" indent="1"/>
    </xf>
    <xf numFmtId="0" fontId="52" fillId="28" borderId="26" xfId="0" applyFont="1" applyFill="1" applyBorder="1" applyAlignment="1" applyProtection="1">
      <alignment horizontal="left" vertical="center"/>
      <protection hidden="1"/>
    </xf>
    <xf numFmtId="0" fontId="52" fillId="28" borderId="0" xfId="0" applyFont="1" applyFill="1" applyBorder="1" applyAlignment="1" applyProtection="1">
      <alignment vertical="center"/>
      <protection hidden="1"/>
    </xf>
    <xf numFmtId="0" fontId="52" fillId="23" borderId="27" xfId="0" applyFont="1" applyFill="1" applyBorder="1" applyAlignment="1" applyProtection="1">
      <alignment horizontal="left" vertical="center"/>
      <protection hidden="1"/>
    </xf>
    <xf numFmtId="167" fontId="52" fillId="28" borderId="27" xfId="0" applyNumberFormat="1" applyFont="1" applyFill="1" applyBorder="1" applyAlignment="1" applyProtection="1">
      <alignment vertical="center"/>
      <protection hidden="1"/>
    </xf>
    <xf numFmtId="167" fontId="52" fillId="28" borderId="28" xfId="0" applyNumberFormat="1" applyFont="1" applyFill="1" applyBorder="1" applyAlignment="1" applyProtection="1">
      <alignment vertical="center"/>
      <protection hidden="1"/>
    </xf>
    <xf numFmtId="0" fontId="47" fillId="33" borderId="35" xfId="58" applyFont="1" applyFill="1" applyBorder="1" applyAlignment="1">
      <alignment horizontal="left" wrapText="1" indent="1"/>
    </xf>
    <xf numFmtId="0" fontId="47" fillId="33" borderId="0" xfId="58" applyFont="1" applyFill="1" applyBorder="1" applyAlignment="1">
      <alignment horizontal="left" wrapText="1" indent="1"/>
    </xf>
    <xf numFmtId="0" fontId="51" fillId="33" borderId="38" xfId="28" applyFont="1" applyFill="1" applyBorder="1" applyAlignment="1">
      <alignment horizontal="right" vertical="center"/>
    </xf>
    <xf numFmtId="0" fontId="51" fillId="33" borderId="39" xfId="28" applyFont="1" applyFill="1" applyBorder="1" applyAlignment="1">
      <alignment horizontal="right" vertical="center"/>
    </xf>
    <xf numFmtId="0" fontId="21" fillId="0" borderId="0" xfId="52" applyFont="1" applyAlignment="1" applyProtection="1">
      <alignment horizontal="center" vertical="center"/>
    </xf>
    <xf numFmtId="0" fontId="21" fillId="0" borderId="0" xfId="52" applyAlignment="1" applyProtection="1">
      <alignment horizontal="center" vertical="center"/>
    </xf>
  </cellXfs>
  <cellStyles count="7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_Report Template" xfId="60"/>
    <cellStyle name="NormalRed" xfId="61"/>
    <cellStyle name="Note" xfId="62" builtinId="10" customBuiltin="1"/>
    <cellStyle name="Output" xfId="63" builtinId="21" customBuiltin="1"/>
    <cellStyle name="Percent" xfId="64" builtinId="5"/>
    <cellStyle name="Percent.0" xfId="65"/>
    <cellStyle name="Percent.00" xfId="66"/>
    <cellStyle name="RED POSTED" xfId="67"/>
    <cellStyle name="Standard_Anpassen der Amortisation" xfId="68"/>
    <cellStyle name="Text_simple" xfId="69"/>
    <cellStyle name="Title" xfId="70" builtinId="15" customBuiltin="1"/>
    <cellStyle name="TmsRmn10BlueItalic" xfId="71"/>
    <cellStyle name="TmsRmn10Bold" xfId="72"/>
    <cellStyle name="Total" xfId="73" builtinId="25" customBuiltin="1"/>
    <cellStyle name="Währung [0]_Compiling Utility Macros" xfId="74"/>
    <cellStyle name="Währung_Compiling Utility Macros" xfId="75"/>
    <cellStyle name="Warning Text" xfId="76"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123825</xdr:colOff>
      <xdr:row>2</xdr:row>
      <xdr:rowOff>0</xdr:rowOff>
    </xdr:to>
    <xdr:sp macro="" textlink="">
      <xdr:nvSpPr>
        <xdr:cNvPr id="2049" name="Rectangle 1"/>
        <xdr:cNvSpPr>
          <a:spLocks noChangeArrowheads="1"/>
        </xdr:cNvSpPr>
      </xdr:nvSpPr>
      <xdr:spPr bwMode="auto">
        <a:xfrm>
          <a:off x="0" y="0"/>
          <a:ext cx="238125" cy="180975"/>
        </a:xfrm>
        <a:prstGeom prst="rect">
          <a:avLst/>
        </a:prstGeom>
        <a:solidFill>
          <a:srgbClr val="FFFFFF"/>
        </a:solidFill>
        <a:ln w="9525">
          <a:noFill/>
          <a:miter lim="800000"/>
          <a:headEnd/>
          <a:tailEnd/>
        </a:ln>
      </xdr:spPr>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xdr:colOff>
      <xdr:row>49</xdr:row>
      <xdr:rowOff>28575</xdr:rowOff>
    </xdr:from>
    <xdr:to>
      <xdr:col>5</xdr:col>
      <xdr:colOff>685800</xdr:colOff>
      <xdr:row>50</xdr:row>
      <xdr:rowOff>66675</xdr:rowOff>
    </xdr:to>
    <xdr:sp macro="" textlink="">
      <xdr:nvSpPr>
        <xdr:cNvPr id="1025" name="Text 21"/>
        <xdr:cNvSpPr txBox="1">
          <a:spLocks noChangeArrowheads="1"/>
        </xdr:cNvSpPr>
      </xdr:nvSpPr>
      <xdr:spPr bwMode="auto">
        <a:xfrm>
          <a:off x="885825" y="123825"/>
          <a:ext cx="3429000" cy="428625"/>
        </a:xfrm>
        <a:prstGeom prst="rect">
          <a:avLst/>
        </a:prstGeom>
        <a:noFill/>
        <a:ln w="1">
          <a:noFill/>
          <a:miter lim="800000"/>
          <a:headEnd/>
          <a:tailEnd/>
        </a:ln>
      </xdr:spPr>
      <xdr:txBody>
        <a:bodyPr vertOverflow="clip" wrap="square" lIns="54864" tIns="45720" rIns="0" bIns="0" anchor="t" upright="1"/>
        <a:lstStyle/>
        <a:p>
          <a:pPr algn="l" rtl="0">
            <a:defRPr sz="1000"/>
          </a:pPr>
          <a:r>
            <a:rPr lang="en-US" sz="2600" b="0" i="1" u="none" strike="noStrike" baseline="0">
              <a:solidFill>
                <a:srgbClr val="800000"/>
              </a:solidFill>
              <a:latin typeface="Times New Roman"/>
              <a:cs typeface="Times New Roman"/>
            </a:rPr>
            <a:t>Comprehensive Ratios</a:t>
          </a:r>
        </a:p>
      </xdr:txBody>
    </xdr:sp>
    <xdr:clientData/>
  </xdr:twoCellAnchor>
  <xdr:twoCellAnchor editAs="oneCell">
    <xdr:from>
      <xdr:col>5</xdr:col>
      <xdr:colOff>419100</xdr:colOff>
      <xdr:row>49</xdr:row>
      <xdr:rowOff>104775</xdr:rowOff>
    </xdr:from>
    <xdr:to>
      <xdr:col>7</xdr:col>
      <xdr:colOff>200025</xdr:colOff>
      <xdr:row>50</xdr:row>
      <xdr:rowOff>85725</xdr:rowOff>
    </xdr:to>
    <xdr:sp macro="" textlink="">
      <xdr:nvSpPr>
        <xdr:cNvPr id="1026" name="Text 22"/>
        <xdr:cNvSpPr txBox="1">
          <a:spLocks noChangeArrowheads="1"/>
        </xdr:cNvSpPr>
      </xdr:nvSpPr>
      <xdr:spPr bwMode="auto">
        <a:xfrm>
          <a:off x="4048125" y="200025"/>
          <a:ext cx="1304925" cy="371475"/>
        </a:xfrm>
        <a:prstGeom prst="rect">
          <a:avLst/>
        </a:prstGeom>
        <a:noFill/>
        <a:ln w="1">
          <a:noFill/>
          <a:miter lim="800000"/>
          <a:headEnd/>
          <a:tailEnd/>
        </a:ln>
      </xdr:spPr>
      <xdr:txBody>
        <a:bodyPr vertOverflow="clip" wrap="square" lIns="45720" tIns="41148" rIns="0" bIns="0" anchor="t" upright="1"/>
        <a:lstStyle/>
        <a:p>
          <a:pPr algn="l" rtl="0">
            <a:defRPr sz="1000"/>
          </a:pPr>
          <a:r>
            <a:rPr lang="en-US" sz="2000" b="1" i="0" u="none" strike="noStrike" baseline="0">
              <a:solidFill>
                <a:srgbClr val="000000"/>
              </a:solidFill>
              <a:latin typeface="Arial MT Black"/>
            </a:rPr>
            <a:t>Report</a:t>
          </a:r>
        </a:p>
      </xdr:txBody>
    </xdr:sp>
    <xdr:clientData/>
  </xdr:twoCellAnchor>
  <xdr:twoCellAnchor>
    <xdr:from>
      <xdr:col>10</xdr:col>
      <xdr:colOff>552450</xdr:colOff>
      <xdr:row>49</xdr:row>
      <xdr:rowOff>85725</xdr:rowOff>
    </xdr:from>
    <xdr:to>
      <xdr:col>10</xdr:col>
      <xdr:colOff>552450</xdr:colOff>
      <xdr:row>49</xdr:row>
      <xdr:rowOff>352425</xdr:rowOff>
    </xdr:to>
    <xdr:sp macro="" textlink="">
      <xdr:nvSpPr>
        <xdr:cNvPr id="1027" name="txtSo2ndSheetWillPrint"/>
        <xdr:cNvSpPr txBox="1">
          <a:spLocks noChangeArrowheads="1"/>
        </xdr:cNvSpPr>
      </xdr:nvSpPr>
      <xdr:spPr bwMode="auto">
        <a:xfrm>
          <a:off x="7839075" y="180975"/>
          <a:ext cx="0" cy="266700"/>
        </a:xfrm>
        <a:prstGeom prst="rect">
          <a:avLst/>
        </a:prstGeom>
        <a:noFill/>
        <a:ln w="1">
          <a:noFill/>
          <a:miter lim="800000"/>
          <a:headEnd/>
          <a:tailEnd/>
        </a:ln>
      </xdr:spPr>
    </xdr:sp>
    <xdr:clientData fPrintsWithSheet="0"/>
  </xdr:twoCellAnchor>
  <xdr:twoCellAnchor editAs="oneCell">
    <xdr:from>
      <xdr:col>0</xdr:col>
      <xdr:colOff>0</xdr:colOff>
      <xdr:row>0</xdr:row>
      <xdr:rowOff>0</xdr:rowOff>
    </xdr:from>
    <xdr:to>
      <xdr:col>1</xdr:col>
      <xdr:colOff>133350</xdr:colOff>
      <xdr:row>49</xdr:row>
      <xdr:rowOff>85725</xdr:rowOff>
    </xdr:to>
    <xdr:sp macro="" textlink="">
      <xdr:nvSpPr>
        <xdr:cNvPr id="1055" name="Rectangle 31"/>
        <xdr:cNvSpPr>
          <a:spLocks noChangeArrowheads="1"/>
        </xdr:cNvSpPr>
      </xdr:nvSpPr>
      <xdr:spPr bwMode="auto">
        <a:xfrm>
          <a:off x="0" y="0"/>
          <a:ext cx="238125" cy="180975"/>
        </a:xfrm>
        <a:prstGeom prst="rect">
          <a:avLst/>
        </a:prstGeom>
        <a:solidFill>
          <a:srgbClr val="FFFFFF"/>
        </a:solidFill>
        <a:ln w="9525">
          <a:noFill/>
          <a:miter lim="800000"/>
          <a:headEnd/>
          <a:tailEnd/>
        </a:ln>
      </xdr:spPr>
    </xdr:sp>
    <xdr:clientData fPrintsWithSheet="0"/>
  </xdr:twoCellAnchor>
  <xdr:twoCellAnchor editAs="absolute">
    <xdr:from>
      <xdr:col>3</xdr:col>
      <xdr:colOff>2400300</xdr:colOff>
      <xdr:row>50</xdr:row>
      <xdr:rowOff>66675</xdr:rowOff>
    </xdr:from>
    <xdr:to>
      <xdr:col>7</xdr:col>
      <xdr:colOff>542925</xdr:colOff>
      <xdr:row>65</xdr:row>
      <xdr:rowOff>38100</xdr:rowOff>
    </xdr:to>
    <xdr:sp macro="" textlink="">
      <xdr:nvSpPr>
        <xdr:cNvPr id="1056" name="Text Box 32" hidden="1"/>
        <xdr:cNvSpPr txBox="1">
          <a:spLocks noChangeArrowheads="1"/>
        </xdr:cNvSpPr>
      </xdr:nvSpPr>
      <xdr:spPr bwMode="auto">
        <a:xfrm>
          <a:off x="3619500" y="552450"/>
          <a:ext cx="2076450" cy="211455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3</xdr:col>
      <xdr:colOff>2400300</xdr:colOff>
      <xdr:row>63</xdr:row>
      <xdr:rowOff>123825</xdr:rowOff>
    </xdr:from>
    <xdr:to>
      <xdr:col>7</xdr:col>
      <xdr:colOff>66675</xdr:colOff>
      <xdr:row>65</xdr:row>
      <xdr:rowOff>38100</xdr:rowOff>
    </xdr:to>
    <xdr:sp macro="" textlink="">
      <xdr:nvSpPr>
        <xdr:cNvPr id="1057" name="Text Box 33" hidden="1"/>
        <xdr:cNvSpPr txBox="1">
          <a:spLocks noChangeArrowheads="1"/>
        </xdr:cNvSpPr>
      </xdr:nvSpPr>
      <xdr:spPr bwMode="auto">
        <a:xfrm>
          <a:off x="3619500" y="2466975"/>
          <a:ext cx="1600200" cy="200025"/>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3</xdr:col>
      <xdr:colOff>2400300</xdr:colOff>
      <xdr:row>63</xdr:row>
      <xdr:rowOff>123825</xdr:rowOff>
    </xdr:from>
    <xdr:to>
      <xdr:col>7</xdr:col>
      <xdr:colOff>66675</xdr:colOff>
      <xdr:row>65</xdr:row>
      <xdr:rowOff>38100</xdr:rowOff>
    </xdr:to>
    <xdr:sp macro="" textlink="">
      <xdr:nvSpPr>
        <xdr:cNvPr id="1058" name="Text Box 34" hidden="1"/>
        <xdr:cNvSpPr txBox="1">
          <a:spLocks noChangeArrowheads="1"/>
        </xdr:cNvSpPr>
      </xdr:nvSpPr>
      <xdr:spPr bwMode="auto">
        <a:xfrm>
          <a:off x="3619500" y="2466975"/>
          <a:ext cx="1600200" cy="200025"/>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3</xdr:col>
      <xdr:colOff>2400300</xdr:colOff>
      <xdr:row>63</xdr:row>
      <xdr:rowOff>123825</xdr:rowOff>
    </xdr:from>
    <xdr:to>
      <xdr:col>7</xdr:col>
      <xdr:colOff>66675</xdr:colOff>
      <xdr:row>65</xdr:row>
      <xdr:rowOff>38100</xdr:rowOff>
    </xdr:to>
    <xdr:sp macro="" textlink="">
      <xdr:nvSpPr>
        <xdr:cNvPr id="1059" name="Text Box 35" hidden="1"/>
        <xdr:cNvSpPr txBox="1">
          <a:spLocks noChangeArrowheads="1"/>
        </xdr:cNvSpPr>
      </xdr:nvSpPr>
      <xdr:spPr bwMode="auto">
        <a:xfrm>
          <a:off x="3619500" y="2466975"/>
          <a:ext cx="1600200" cy="200025"/>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autoPageBreaks="0"/>
  </sheetPr>
  <dimension ref="B1:I111"/>
  <sheetViews>
    <sheetView showGridLines="0" showRowColHeaders="0" tabSelected="1" zoomScaleNormal="100" workbookViewId="0"/>
  </sheetViews>
  <sheetFormatPr defaultRowHeight="12.75" x14ac:dyDescent="0.2"/>
  <cols>
    <col min="1" max="1" width="1.7109375" customWidth="1"/>
    <col min="2" max="2" width="12.7109375" customWidth="1"/>
    <col min="3" max="3" width="40.42578125" bestFit="1" customWidth="1"/>
    <col min="4" max="8" width="12.7109375" customWidth="1"/>
    <col min="9" max="9" width="1.28515625" customWidth="1"/>
  </cols>
  <sheetData>
    <row r="1" spans="2:9" ht="1.5" customHeight="1" x14ac:dyDescent="0.2">
      <c r="B1" s="67"/>
      <c r="I1" s="68"/>
    </row>
    <row r="2" spans="2:9" x14ac:dyDescent="0.2">
      <c r="B2" s="67"/>
      <c r="C2" s="68"/>
      <c r="D2" s="68"/>
      <c r="E2" s="68"/>
      <c r="F2" s="68"/>
      <c r="G2" s="68"/>
      <c r="H2" s="68"/>
      <c r="I2" s="68"/>
    </row>
    <row r="3" spans="2:9" ht="12" customHeight="1" x14ac:dyDescent="0.2">
      <c r="B3" s="67"/>
      <c r="C3" s="163"/>
      <c r="D3" s="164"/>
      <c r="E3" s="164"/>
      <c r="F3" s="164"/>
      <c r="G3" s="164"/>
      <c r="H3" s="165"/>
      <c r="I3" s="68"/>
    </row>
    <row r="4" spans="2:9" ht="20.25" customHeight="1" x14ac:dyDescent="0.3">
      <c r="B4" s="67"/>
      <c r="C4" s="166" t="s">
        <v>199</v>
      </c>
      <c r="D4" s="167"/>
      <c r="E4" s="167"/>
      <c r="F4" s="167"/>
      <c r="G4" s="167"/>
      <c r="H4" s="168"/>
      <c r="I4" s="68"/>
    </row>
    <row r="5" spans="2:9" x14ac:dyDescent="0.2">
      <c r="B5" s="67"/>
      <c r="C5" s="169"/>
      <c r="D5" s="170"/>
      <c r="E5" s="170"/>
      <c r="F5" s="170"/>
      <c r="G5" s="170"/>
      <c r="H5" s="171"/>
      <c r="I5" s="68"/>
    </row>
    <row r="6" spans="2:9" x14ac:dyDescent="0.2">
      <c r="B6" s="68"/>
      <c r="C6" s="69"/>
      <c r="D6" s="70"/>
      <c r="E6" s="70"/>
      <c r="F6" s="70"/>
      <c r="G6" s="70"/>
      <c r="H6" s="71" t="s">
        <v>128</v>
      </c>
      <c r="I6" s="68"/>
    </row>
    <row r="7" spans="2:9" ht="13.5" thickBot="1" x14ac:dyDescent="0.25">
      <c r="B7" s="68"/>
      <c r="C7" s="72"/>
      <c r="D7" s="73">
        <v>2006</v>
      </c>
      <c r="E7" s="74">
        <f>D7+1</f>
        <v>2007</v>
      </c>
      <c r="F7" s="74">
        <f>E7+1</f>
        <v>2008</v>
      </c>
      <c r="G7" s="74">
        <f>F7+1</f>
        <v>2009</v>
      </c>
      <c r="H7" s="75" t="s">
        <v>129</v>
      </c>
    </row>
    <row r="8" spans="2:9" x14ac:dyDescent="0.2">
      <c r="B8" s="68"/>
      <c r="C8" s="76"/>
      <c r="D8" s="77"/>
      <c r="E8" s="77"/>
      <c r="F8" s="77"/>
      <c r="G8" s="77"/>
      <c r="H8" s="78"/>
    </row>
    <row r="9" spans="2:9" x14ac:dyDescent="0.2">
      <c r="B9" s="68"/>
      <c r="C9" s="79" t="s">
        <v>130</v>
      </c>
      <c r="D9" s="80"/>
      <c r="E9" s="80"/>
      <c r="F9" s="80"/>
      <c r="G9" s="80"/>
      <c r="H9" s="81"/>
    </row>
    <row r="10" spans="2:9" s="85" customFormat="1" x14ac:dyDescent="0.2">
      <c r="B10" s="82"/>
      <c r="C10" s="83" t="s">
        <v>130</v>
      </c>
      <c r="D10" s="155">
        <v>2010000</v>
      </c>
      <c r="E10" s="155">
        <v>2060000</v>
      </c>
      <c r="F10" s="155">
        <v>2121800</v>
      </c>
      <c r="G10" s="155">
        <v>2391800</v>
      </c>
      <c r="H10" s="84">
        <f>SUM(D10:G10)</f>
        <v>8583600</v>
      </c>
    </row>
    <row r="11" spans="2:9" s="85" customFormat="1" ht="13.5" thickBot="1" x14ac:dyDescent="0.25">
      <c r="B11" s="82"/>
      <c r="C11" s="83" t="s">
        <v>131</v>
      </c>
      <c r="D11" s="155">
        <v>0</v>
      </c>
      <c r="E11" s="155">
        <v>0</v>
      </c>
      <c r="F11" s="155">
        <v>0</v>
      </c>
      <c r="G11" s="155">
        <v>0</v>
      </c>
      <c r="H11" s="84">
        <f>SUM(D11:G11)</f>
        <v>0</v>
      </c>
    </row>
    <row r="12" spans="2:9" s="85" customFormat="1" ht="13.5" thickBot="1" x14ac:dyDescent="0.25">
      <c r="B12" s="82"/>
      <c r="C12" s="86" t="s">
        <v>132</v>
      </c>
      <c r="D12" s="87">
        <f>SUM(D10:D11)</f>
        <v>2010000</v>
      </c>
      <c r="E12" s="88">
        <f>SUM(E10:E11)</f>
        <v>2060000</v>
      </c>
      <c r="F12" s="88">
        <f>SUM(F10:F11)</f>
        <v>2121800</v>
      </c>
      <c r="G12" s="88">
        <f>SUM(G10:G11)</f>
        <v>2391800</v>
      </c>
      <c r="H12" s="89">
        <f>SUM(H10:H11)</f>
        <v>8583600</v>
      </c>
    </row>
    <row r="13" spans="2:9" s="85" customFormat="1" x14ac:dyDescent="0.2">
      <c r="B13" s="82"/>
      <c r="C13" s="90"/>
      <c r="D13" s="91"/>
      <c r="E13" s="92"/>
      <c r="F13" s="92"/>
      <c r="G13" s="92"/>
      <c r="H13" s="93"/>
    </row>
    <row r="14" spans="2:9" s="85" customFormat="1" x14ac:dyDescent="0.2">
      <c r="B14" s="82"/>
      <c r="C14" s="94" t="s">
        <v>198</v>
      </c>
      <c r="D14" s="95"/>
      <c r="E14" s="95"/>
      <c r="F14" s="95"/>
      <c r="G14" s="95"/>
      <c r="H14" s="96"/>
    </row>
    <row r="15" spans="2:9" s="85" customFormat="1" x14ac:dyDescent="0.2">
      <c r="B15" s="82"/>
      <c r="C15" s="97" t="s">
        <v>133</v>
      </c>
      <c r="D15" s="156">
        <v>320000</v>
      </c>
      <c r="E15" s="156">
        <v>329600</v>
      </c>
      <c r="F15" s="156">
        <v>339488</v>
      </c>
      <c r="G15" s="156">
        <v>389088</v>
      </c>
      <c r="H15" s="84">
        <f>SUM(D15:G15)</f>
        <v>1378176</v>
      </c>
    </row>
    <row r="16" spans="2:9" s="85" customFormat="1" x14ac:dyDescent="0.2">
      <c r="B16" s="82"/>
      <c r="C16" s="98" t="s">
        <v>134</v>
      </c>
      <c r="D16" s="155">
        <v>500000</v>
      </c>
      <c r="E16" s="155">
        <v>515000</v>
      </c>
      <c r="F16" s="155">
        <v>530450</v>
      </c>
      <c r="G16" s="155">
        <v>545450</v>
      </c>
      <c r="H16" s="84">
        <f>SUM(D16:G16)</f>
        <v>2090900</v>
      </c>
    </row>
    <row r="17" spans="2:8" s="85" customFormat="1" x14ac:dyDescent="0.2">
      <c r="B17" s="82"/>
      <c r="C17" s="83" t="s">
        <v>135</v>
      </c>
      <c r="D17" s="157">
        <v>125000</v>
      </c>
      <c r="E17" s="157">
        <v>128750</v>
      </c>
      <c r="F17" s="157">
        <v>132612.5</v>
      </c>
      <c r="G17" s="157">
        <v>186362.5</v>
      </c>
      <c r="H17" s="84">
        <f>SUM(D17:G17)</f>
        <v>572725</v>
      </c>
    </row>
    <row r="18" spans="2:8" s="85" customFormat="1" ht="13.5" thickBot="1" x14ac:dyDescent="0.25">
      <c r="B18" s="82"/>
      <c r="C18" s="99" t="s">
        <v>131</v>
      </c>
      <c r="D18" s="157">
        <v>0</v>
      </c>
      <c r="E18" s="157">
        <v>0</v>
      </c>
      <c r="F18" s="157">
        <v>0</v>
      </c>
      <c r="G18" s="157">
        <v>0</v>
      </c>
      <c r="H18" s="84">
        <f>SUM(D18:G18)</f>
        <v>0</v>
      </c>
    </row>
    <row r="19" spans="2:8" s="85" customFormat="1" ht="13.5" thickBot="1" x14ac:dyDescent="0.25">
      <c r="B19" s="82"/>
      <c r="C19" s="86" t="s">
        <v>136</v>
      </c>
      <c r="D19" s="87">
        <f>SUM(D15:D18)</f>
        <v>945000</v>
      </c>
      <c r="E19" s="88">
        <f>SUM(E15:E18)</f>
        <v>973350</v>
      </c>
      <c r="F19" s="88">
        <f>SUM(F15:F18)</f>
        <v>1002550.5</v>
      </c>
      <c r="G19" s="88">
        <f>SUM(G15:G18)</f>
        <v>1120900.5</v>
      </c>
      <c r="H19" s="89">
        <f>SUM(H15:H18)</f>
        <v>4041801</v>
      </c>
    </row>
    <row r="20" spans="2:8" ht="13.5" thickBot="1" x14ac:dyDescent="0.25">
      <c r="B20" s="68"/>
      <c r="C20" s="100"/>
      <c r="D20" s="101"/>
      <c r="E20" s="101"/>
      <c r="F20" s="101"/>
      <c r="G20" s="101"/>
      <c r="H20" s="102"/>
    </row>
    <row r="21" spans="2:8" ht="13.5" thickBot="1" x14ac:dyDescent="0.25">
      <c r="B21" s="68"/>
      <c r="C21" s="86" t="s">
        <v>137</v>
      </c>
      <c r="D21" s="87">
        <f>D12-D19</f>
        <v>1065000</v>
      </c>
      <c r="E21" s="88">
        <f>E12-E19</f>
        <v>1086650</v>
      </c>
      <c r="F21" s="88">
        <f>F12-F19</f>
        <v>1119249.5</v>
      </c>
      <c r="G21" s="88">
        <f>G12-G19</f>
        <v>1270899.5</v>
      </c>
      <c r="H21" s="89">
        <f>H12-H19</f>
        <v>4541799</v>
      </c>
    </row>
    <row r="22" spans="2:8" x14ac:dyDescent="0.2">
      <c r="B22" s="68"/>
      <c r="C22" s="103"/>
      <c r="D22" s="104"/>
      <c r="E22" s="105"/>
      <c r="F22" s="105"/>
      <c r="G22" s="105"/>
      <c r="H22" s="106"/>
    </row>
    <row r="23" spans="2:8" s="85" customFormat="1" x14ac:dyDescent="0.2">
      <c r="B23" s="82"/>
      <c r="C23" s="107" t="s">
        <v>86</v>
      </c>
      <c r="D23" s="95"/>
      <c r="E23" s="95"/>
      <c r="F23" s="95"/>
      <c r="G23" s="95"/>
      <c r="H23" s="96"/>
    </row>
    <row r="24" spans="2:8" s="85" customFormat="1" x14ac:dyDescent="0.2">
      <c r="B24" s="82"/>
      <c r="C24" s="83" t="s">
        <v>138</v>
      </c>
      <c r="D24" s="155">
        <v>190000</v>
      </c>
      <c r="E24" s="155">
        <v>190000</v>
      </c>
      <c r="F24" s="155">
        <v>190000</v>
      </c>
      <c r="G24" s="155">
        <v>190000</v>
      </c>
      <c r="H24" s="84">
        <f t="shared" ref="H24:H42" si="0">SUM(D24:G24)</f>
        <v>760000</v>
      </c>
    </row>
    <row r="25" spans="2:8" s="85" customFormat="1" x14ac:dyDescent="0.2">
      <c r="B25" s="82"/>
      <c r="C25" s="83" t="s">
        <v>139</v>
      </c>
      <c r="D25" s="155">
        <v>50000</v>
      </c>
      <c r="E25" s="155">
        <v>51500</v>
      </c>
      <c r="F25" s="155">
        <v>53045</v>
      </c>
      <c r="G25" s="155">
        <v>54545</v>
      </c>
      <c r="H25" s="84">
        <f t="shared" si="0"/>
        <v>209090</v>
      </c>
    </row>
    <row r="26" spans="2:8" s="85" customFormat="1" x14ac:dyDescent="0.2">
      <c r="B26" s="82"/>
      <c r="C26" s="83" t="s">
        <v>140</v>
      </c>
      <c r="D26" s="155">
        <v>30000</v>
      </c>
      <c r="E26" s="155">
        <v>30900</v>
      </c>
      <c r="F26" s="155">
        <v>31827</v>
      </c>
      <c r="G26" s="155">
        <v>32727</v>
      </c>
      <c r="H26" s="84">
        <f t="shared" si="0"/>
        <v>125454</v>
      </c>
    </row>
    <row r="27" spans="2:8" s="85" customFormat="1" x14ac:dyDescent="0.2">
      <c r="B27" s="82"/>
      <c r="C27" s="83" t="s">
        <v>141</v>
      </c>
      <c r="D27" s="155">
        <v>5000</v>
      </c>
      <c r="E27" s="155">
        <v>5150</v>
      </c>
      <c r="F27" s="155">
        <v>5304.5</v>
      </c>
      <c r="G27" s="155">
        <v>5454.5</v>
      </c>
      <c r="H27" s="84">
        <f t="shared" si="0"/>
        <v>20909</v>
      </c>
    </row>
    <row r="28" spans="2:8" s="85" customFormat="1" x14ac:dyDescent="0.2">
      <c r="B28" s="82"/>
      <c r="C28" s="83" t="s">
        <v>142</v>
      </c>
      <c r="D28" s="155">
        <v>3000</v>
      </c>
      <c r="E28" s="155">
        <v>3090</v>
      </c>
      <c r="F28" s="155">
        <v>3182.7</v>
      </c>
      <c r="G28" s="155">
        <v>3272.7</v>
      </c>
      <c r="H28" s="84">
        <f t="shared" si="0"/>
        <v>12545.400000000001</v>
      </c>
    </row>
    <row r="29" spans="2:8" s="85" customFormat="1" x14ac:dyDescent="0.2">
      <c r="B29" s="82"/>
      <c r="C29" s="83" t="s">
        <v>143</v>
      </c>
      <c r="D29" s="155">
        <v>1000</v>
      </c>
      <c r="E29" s="155">
        <v>1030</v>
      </c>
      <c r="F29" s="155">
        <v>1060.9000000000001</v>
      </c>
      <c r="G29" s="155">
        <v>1060.9000000000001</v>
      </c>
      <c r="H29" s="84">
        <f t="shared" si="0"/>
        <v>4151.8</v>
      </c>
    </row>
    <row r="30" spans="2:8" s="85" customFormat="1" x14ac:dyDescent="0.2">
      <c r="B30" s="82"/>
      <c r="C30" s="98" t="s">
        <v>144</v>
      </c>
      <c r="D30" s="156">
        <v>1000</v>
      </c>
      <c r="E30" s="156">
        <v>1030</v>
      </c>
      <c r="F30" s="156">
        <v>1060.9000000000001</v>
      </c>
      <c r="G30" s="156">
        <v>1060.9000000000001</v>
      </c>
      <c r="H30" s="84">
        <f t="shared" si="0"/>
        <v>4151.8</v>
      </c>
    </row>
    <row r="31" spans="2:8" s="85" customFormat="1" x14ac:dyDescent="0.2">
      <c r="B31" s="82"/>
      <c r="C31" s="98" t="s">
        <v>145</v>
      </c>
      <c r="D31" s="155">
        <v>2133</v>
      </c>
      <c r="E31" s="155">
        <v>2196.9899999999998</v>
      </c>
      <c r="F31" s="155">
        <v>2262.8996999999999</v>
      </c>
      <c r="G31" s="155">
        <v>2262.8996999999999</v>
      </c>
      <c r="H31" s="84">
        <f t="shared" si="0"/>
        <v>8855.7893999999997</v>
      </c>
    </row>
    <row r="32" spans="2:8" s="85" customFormat="1" x14ac:dyDescent="0.2">
      <c r="B32" s="82"/>
      <c r="C32" s="98" t="s">
        <v>146</v>
      </c>
      <c r="D32" s="155">
        <v>11000</v>
      </c>
      <c r="E32" s="155">
        <v>11330</v>
      </c>
      <c r="F32" s="155">
        <v>11669.9</v>
      </c>
      <c r="G32" s="155">
        <v>12669.9</v>
      </c>
      <c r="H32" s="84">
        <f t="shared" si="0"/>
        <v>46669.8</v>
      </c>
    </row>
    <row r="33" spans="2:8" s="85" customFormat="1" x14ac:dyDescent="0.2">
      <c r="B33" s="82"/>
      <c r="C33" s="98" t="s">
        <v>147</v>
      </c>
      <c r="D33" s="155">
        <v>4000</v>
      </c>
      <c r="E33" s="155">
        <v>4120</v>
      </c>
      <c r="F33" s="155">
        <v>4243.6000000000004</v>
      </c>
      <c r="G33" s="155">
        <v>4243.6000000000004</v>
      </c>
      <c r="H33" s="84">
        <f t="shared" si="0"/>
        <v>16607.2</v>
      </c>
    </row>
    <row r="34" spans="2:8" s="85" customFormat="1" x14ac:dyDescent="0.2">
      <c r="B34" s="82"/>
      <c r="C34" s="98" t="s">
        <v>148</v>
      </c>
      <c r="D34" s="155">
        <v>6000</v>
      </c>
      <c r="E34" s="155">
        <v>6180</v>
      </c>
      <c r="F34" s="155">
        <v>6365.4</v>
      </c>
      <c r="G34" s="155">
        <v>6365.4</v>
      </c>
      <c r="H34" s="84">
        <f t="shared" si="0"/>
        <v>24910.800000000003</v>
      </c>
    </row>
    <row r="35" spans="2:8" s="85" customFormat="1" x14ac:dyDescent="0.2">
      <c r="B35" s="82"/>
      <c r="C35" s="108" t="s">
        <v>149</v>
      </c>
      <c r="D35" s="157">
        <v>1000</v>
      </c>
      <c r="E35" s="157">
        <v>1030</v>
      </c>
      <c r="F35" s="157">
        <v>1060.9000000000001</v>
      </c>
      <c r="G35" s="157">
        <v>1060.9000000000001</v>
      </c>
      <c r="H35" s="84">
        <f t="shared" si="0"/>
        <v>4151.8</v>
      </c>
    </row>
    <row r="36" spans="2:8" x14ac:dyDescent="0.2">
      <c r="B36" s="82"/>
      <c r="C36" s="83" t="s">
        <v>150</v>
      </c>
      <c r="D36" s="155">
        <v>3000</v>
      </c>
      <c r="E36" s="155">
        <v>3090</v>
      </c>
      <c r="F36" s="155">
        <v>3182.7</v>
      </c>
      <c r="G36" s="155">
        <v>3182.7</v>
      </c>
      <c r="H36" s="84">
        <f t="shared" si="0"/>
        <v>12455.400000000001</v>
      </c>
    </row>
    <row r="37" spans="2:8" x14ac:dyDescent="0.2">
      <c r="B37" s="82"/>
      <c r="C37" s="83" t="s">
        <v>151</v>
      </c>
      <c r="D37" s="155">
        <v>1000</v>
      </c>
      <c r="E37" s="155">
        <v>1030</v>
      </c>
      <c r="F37" s="155">
        <v>1060.9000000000001</v>
      </c>
      <c r="G37" s="155">
        <v>1060.9000000000001</v>
      </c>
      <c r="H37" s="84">
        <f t="shared" si="0"/>
        <v>4151.8</v>
      </c>
    </row>
    <row r="38" spans="2:8" x14ac:dyDescent="0.2">
      <c r="B38" s="82"/>
      <c r="C38" s="83" t="s">
        <v>152</v>
      </c>
      <c r="D38" s="155">
        <v>1000</v>
      </c>
      <c r="E38" s="155">
        <v>1030</v>
      </c>
      <c r="F38" s="155">
        <v>1060.9000000000001</v>
      </c>
      <c r="G38" s="155">
        <v>1060.9000000000001</v>
      </c>
      <c r="H38" s="84">
        <f t="shared" si="0"/>
        <v>4151.8</v>
      </c>
    </row>
    <row r="39" spans="2:8" x14ac:dyDescent="0.2">
      <c r="B39" s="82"/>
      <c r="C39" s="83" t="s">
        <v>153</v>
      </c>
      <c r="D39" s="155">
        <v>1000</v>
      </c>
      <c r="E39" s="155">
        <v>1030</v>
      </c>
      <c r="F39" s="155">
        <v>1060.9000000000001</v>
      </c>
      <c r="G39" s="155">
        <v>1060.9000000000001</v>
      </c>
      <c r="H39" s="84">
        <f t="shared" si="0"/>
        <v>4151.8</v>
      </c>
    </row>
    <row r="40" spans="2:8" s="85" customFormat="1" x14ac:dyDescent="0.2">
      <c r="B40" s="82"/>
      <c r="C40" s="83" t="s">
        <v>154</v>
      </c>
      <c r="D40" s="155">
        <v>1000</v>
      </c>
      <c r="E40" s="155">
        <v>1030</v>
      </c>
      <c r="F40" s="155">
        <v>1060.9000000000001</v>
      </c>
      <c r="G40" s="155">
        <v>1060.9000000000001</v>
      </c>
      <c r="H40" s="84">
        <f t="shared" si="0"/>
        <v>4151.8</v>
      </c>
    </row>
    <row r="41" spans="2:8" s="85" customFormat="1" x14ac:dyDescent="0.2">
      <c r="B41" s="82"/>
      <c r="C41" s="109" t="s">
        <v>20</v>
      </c>
      <c r="D41" s="155">
        <v>6000</v>
      </c>
      <c r="E41" s="155">
        <v>6000</v>
      </c>
      <c r="F41" s="155">
        <v>6000</v>
      </c>
      <c r="G41" s="155">
        <v>6000</v>
      </c>
      <c r="H41" s="84">
        <f t="shared" si="0"/>
        <v>24000</v>
      </c>
    </row>
    <row r="42" spans="2:8" s="85" customFormat="1" ht="13.5" thickBot="1" x14ac:dyDescent="0.25">
      <c r="B42" s="82"/>
      <c r="C42" s="109" t="s">
        <v>131</v>
      </c>
      <c r="D42" s="157">
        <v>0</v>
      </c>
      <c r="E42" s="157">
        <v>0</v>
      </c>
      <c r="F42" s="157">
        <v>0</v>
      </c>
      <c r="G42" s="157">
        <v>0</v>
      </c>
      <c r="H42" s="84">
        <f t="shared" si="0"/>
        <v>0</v>
      </c>
    </row>
    <row r="43" spans="2:8" s="85" customFormat="1" ht="13.5" thickBot="1" x14ac:dyDescent="0.25">
      <c r="B43" s="82"/>
      <c r="C43" s="110" t="s">
        <v>155</v>
      </c>
      <c r="D43" s="87">
        <f>SUM(D24:D42)</f>
        <v>317133</v>
      </c>
      <c r="E43" s="87">
        <f>SUM(E24:E42)</f>
        <v>320766.99</v>
      </c>
      <c r="F43" s="87">
        <f>SUM(F24:F42)</f>
        <v>324509.99970000022</v>
      </c>
      <c r="G43" s="87">
        <f>SUM(G24:G42)</f>
        <v>328149.99970000022</v>
      </c>
      <c r="H43" s="111">
        <f>SUM(D43:G43)</f>
        <v>1290559.9894000005</v>
      </c>
    </row>
    <row r="44" spans="2:8" ht="13.5" thickBot="1" x14ac:dyDescent="0.25">
      <c r="B44" s="68"/>
      <c r="C44" s="100"/>
      <c r="D44" s="112"/>
      <c r="E44" s="112"/>
      <c r="F44" s="112"/>
      <c r="G44" s="112"/>
      <c r="H44" s="113"/>
    </row>
    <row r="45" spans="2:8" ht="13.5" thickBot="1" x14ac:dyDescent="0.25">
      <c r="B45" s="68"/>
      <c r="C45" s="86" t="s">
        <v>156</v>
      </c>
      <c r="D45" s="87">
        <f>D21-D43</f>
        <v>747867</v>
      </c>
      <c r="E45" s="88">
        <f>E21-E43</f>
        <v>765883.01</v>
      </c>
      <c r="F45" s="88">
        <f>F21-F43</f>
        <v>794739.50029999972</v>
      </c>
      <c r="G45" s="88">
        <f>G21-G43</f>
        <v>942749.50029999972</v>
      </c>
      <c r="H45" s="89">
        <f>H21-H43</f>
        <v>3251239.0105999997</v>
      </c>
    </row>
    <row r="46" spans="2:8" x14ac:dyDescent="0.2">
      <c r="B46" s="68"/>
      <c r="C46" s="114"/>
      <c r="D46" s="115"/>
      <c r="E46" s="116"/>
      <c r="F46" s="116"/>
      <c r="G46" s="116"/>
      <c r="H46" s="117"/>
    </row>
    <row r="47" spans="2:8" s="85" customFormat="1" x14ac:dyDescent="0.2">
      <c r="B47" s="82"/>
      <c r="C47" s="118" t="s">
        <v>157</v>
      </c>
      <c r="D47" s="158">
        <v>16250</v>
      </c>
      <c r="E47" s="158">
        <v>16737.5</v>
      </c>
      <c r="F47" s="158">
        <v>17239.625</v>
      </c>
      <c r="G47" s="158">
        <v>18227.125</v>
      </c>
      <c r="H47" s="119">
        <f>SUM(D47:G47)</f>
        <v>68454.25</v>
      </c>
    </row>
    <row r="48" spans="2:8" s="85" customFormat="1" ht="13.5" thickBot="1" x14ac:dyDescent="0.25">
      <c r="B48" s="82"/>
      <c r="C48" s="109" t="s">
        <v>158</v>
      </c>
      <c r="D48" s="157">
        <v>0</v>
      </c>
      <c r="E48" s="157">
        <v>0</v>
      </c>
      <c r="F48" s="157">
        <v>0</v>
      </c>
      <c r="G48" s="157">
        <v>0</v>
      </c>
      <c r="H48" s="84">
        <f>SUM(D48:G48)</f>
        <v>0</v>
      </c>
    </row>
    <row r="49" spans="2:9" s="85" customFormat="1" ht="13.5" thickBot="1" x14ac:dyDescent="0.25">
      <c r="B49" s="82"/>
      <c r="C49" s="110" t="s">
        <v>159</v>
      </c>
      <c r="D49" s="87">
        <f>SUM(D47:D48)</f>
        <v>16250</v>
      </c>
      <c r="E49" s="87">
        <f>SUM(E47:E48)</f>
        <v>16737.5</v>
      </c>
      <c r="F49" s="87">
        <f>SUM(F47:F48)</f>
        <v>17239.625</v>
      </c>
      <c r="G49" s="87">
        <f>SUM(G47:G48)</f>
        <v>18227.125</v>
      </c>
      <c r="H49" s="111">
        <f>SUM(H47:H48)</f>
        <v>68454.25</v>
      </c>
    </row>
    <row r="50" spans="2:9" ht="13.5" thickBot="1" x14ac:dyDescent="0.25">
      <c r="B50" s="68"/>
      <c r="C50" s="100"/>
      <c r="D50" s="112"/>
      <c r="E50" s="112"/>
      <c r="F50" s="112"/>
      <c r="G50" s="112"/>
      <c r="H50" s="113"/>
    </row>
    <row r="51" spans="2:9" ht="13.5" thickBot="1" x14ac:dyDescent="0.25">
      <c r="B51" s="68"/>
      <c r="C51" s="86" t="s">
        <v>160</v>
      </c>
      <c r="D51" s="87">
        <f>D45+D49</f>
        <v>764117</v>
      </c>
      <c r="E51" s="88">
        <f>E45+E49</f>
        <v>782620.51</v>
      </c>
      <c r="F51" s="88">
        <f>F45+F49</f>
        <v>811979.12529999972</v>
      </c>
      <c r="G51" s="88">
        <f>G45+G49</f>
        <v>960976.62529999972</v>
      </c>
      <c r="H51" s="89">
        <f>H45+H49</f>
        <v>3319693.2605999997</v>
      </c>
    </row>
    <row r="52" spans="2:9" ht="13.5" thickBot="1" x14ac:dyDescent="0.25">
      <c r="B52" s="68"/>
      <c r="C52" s="120"/>
      <c r="D52" s="121"/>
      <c r="E52" s="121"/>
      <c r="F52" s="121"/>
      <c r="G52" s="121"/>
      <c r="H52" s="122"/>
    </row>
    <row r="53" spans="2:9" s="85" customFormat="1" ht="13.5" thickBot="1" x14ac:dyDescent="0.25">
      <c r="B53" s="123"/>
      <c r="C53" s="124" t="s">
        <v>24</v>
      </c>
      <c r="D53" s="158">
        <v>148563</v>
      </c>
      <c r="E53" s="158">
        <v>149143.89000000001</v>
      </c>
      <c r="F53" s="158">
        <v>152922.20669999992</v>
      </c>
      <c r="G53" s="158">
        <v>162629.09669999999</v>
      </c>
      <c r="H53" s="111">
        <f>SUM(D53:G53)</f>
        <v>613258.19339999999</v>
      </c>
      <c r="I53" s="125"/>
    </row>
    <row r="54" spans="2:9" ht="13.5" thickBot="1" x14ac:dyDescent="0.25">
      <c r="B54" s="68"/>
      <c r="C54" s="100"/>
      <c r="D54" s="112"/>
      <c r="E54" s="112"/>
      <c r="F54" s="112"/>
      <c r="G54" s="112"/>
      <c r="H54" s="113"/>
    </row>
    <row r="55" spans="2:9" s="68" customFormat="1" ht="13.5" thickBot="1" x14ac:dyDescent="0.25">
      <c r="C55" s="86" t="s">
        <v>161</v>
      </c>
      <c r="D55" s="87">
        <f>D51-D53</f>
        <v>615554</v>
      </c>
      <c r="E55" s="88">
        <f>E51-E53</f>
        <v>633476.62</v>
      </c>
      <c r="F55" s="88">
        <f>F51-F53</f>
        <v>659056.91859999974</v>
      </c>
      <c r="G55" s="88">
        <f>G51-G53</f>
        <v>798347.52859999973</v>
      </c>
      <c r="H55" s="89">
        <f>H51-H53</f>
        <v>2706435.0671999995</v>
      </c>
      <c r="I55" s="126"/>
    </row>
    <row r="56" spans="2:9" s="68" customFormat="1" ht="13.5" thickBot="1" x14ac:dyDescent="0.25">
      <c r="C56" s="127"/>
      <c r="D56" s="128"/>
      <c r="E56" s="128"/>
      <c r="F56" s="128"/>
      <c r="G56" s="128"/>
      <c r="H56" s="129"/>
      <c r="I56" s="126"/>
    </row>
    <row r="57" spans="2:9" s="130" customFormat="1" ht="13.5" thickBot="1" x14ac:dyDescent="0.25">
      <c r="C57" s="86" t="s">
        <v>162</v>
      </c>
      <c r="D57" s="87">
        <f>D55</f>
        <v>615554</v>
      </c>
      <c r="E57" s="88">
        <f>E55+D57</f>
        <v>1249030.6200000001</v>
      </c>
      <c r="F57" s="88">
        <f>F55+E57</f>
        <v>1908087.5385999999</v>
      </c>
      <c r="G57" s="88">
        <f>G55+F57</f>
        <v>2706435.0671999995</v>
      </c>
      <c r="H57" s="89">
        <f>H55+G57</f>
        <v>5412870.1343999989</v>
      </c>
      <c r="I57" s="131"/>
    </row>
    <row r="59" spans="2:9" x14ac:dyDescent="0.2">
      <c r="C59" s="172"/>
      <c r="D59" s="173"/>
      <c r="E59" s="173"/>
      <c r="F59" s="173"/>
      <c r="G59" s="173"/>
      <c r="H59" s="174"/>
    </row>
    <row r="60" spans="2:9" ht="20.25" x14ac:dyDescent="0.3">
      <c r="C60" s="182" t="s">
        <v>163</v>
      </c>
      <c r="D60" s="183"/>
      <c r="E60" s="183"/>
      <c r="F60" s="183"/>
      <c r="G60" s="183"/>
      <c r="H60" s="175"/>
    </row>
    <row r="61" spans="2:9" x14ac:dyDescent="0.2">
      <c r="C61" s="176"/>
      <c r="D61" s="184"/>
      <c r="E61" s="184"/>
      <c r="F61" s="184"/>
      <c r="G61" s="184"/>
      <c r="H61" s="185"/>
    </row>
    <row r="62" spans="2:9" x14ac:dyDescent="0.2">
      <c r="C62" s="132"/>
      <c r="D62" s="133"/>
      <c r="E62" s="133"/>
      <c r="F62" s="133"/>
      <c r="G62" s="133"/>
      <c r="H62" s="133"/>
    </row>
    <row r="63" spans="2:9" ht="13.5" thickBot="1" x14ac:dyDescent="0.25">
      <c r="C63" s="134"/>
      <c r="D63" s="135" t="s">
        <v>164</v>
      </c>
      <c r="E63" s="136" t="s">
        <v>165</v>
      </c>
      <c r="F63" s="136" t="s">
        <v>166</v>
      </c>
      <c r="G63" s="137" t="s">
        <v>167</v>
      </c>
      <c r="H63" s="136" t="s">
        <v>168</v>
      </c>
    </row>
    <row r="64" spans="2:9" x14ac:dyDescent="0.2">
      <c r="C64" s="138"/>
      <c r="D64" s="70"/>
      <c r="E64" s="70"/>
      <c r="F64" s="70"/>
      <c r="G64" s="139"/>
      <c r="H64" s="70"/>
    </row>
    <row r="65" spans="3:8" x14ac:dyDescent="0.2">
      <c r="C65" s="140" t="s">
        <v>169</v>
      </c>
      <c r="D65" s="70"/>
      <c r="E65" s="70"/>
      <c r="F65" s="70"/>
      <c r="G65" s="139"/>
      <c r="H65" s="70"/>
    </row>
    <row r="66" spans="3:8" x14ac:dyDescent="0.2">
      <c r="C66" s="138"/>
      <c r="D66" s="141"/>
      <c r="E66" s="70"/>
      <c r="F66" s="70"/>
      <c r="G66" s="139"/>
      <c r="H66" s="70"/>
    </row>
    <row r="67" spans="3:8" x14ac:dyDescent="0.2">
      <c r="C67" s="79" t="s">
        <v>64</v>
      </c>
      <c r="D67" s="142"/>
      <c r="E67" s="143"/>
      <c r="F67" s="143"/>
      <c r="G67" s="144"/>
      <c r="H67" s="143"/>
    </row>
    <row r="68" spans="3:8" x14ac:dyDescent="0.2">
      <c r="C68" s="145" t="s">
        <v>170</v>
      </c>
      <c r="D68" s="155">
        <v>507604.47331000003</v>
      </c>
      <c r="E68" s="155">
        <v>451000</v>
      </c>
      <c r="F68" s="155">
        <v>464530</v>
      </c>
      <c r="G68" s="159">
        <v>478465.9</v>
      </c>
      <c r="H68" s="155">
        <v>492819.87700000004</v>
      </c>
    </row>
    <row r="69" spans="3:8" x14ac:dyDescent="0.2">
      <c r="C69" s="148" t="s">
        <v>171</v>
      </c>
      <c r="D69" s="157">
        <v>4300</v>
      </c>
      <c r="E69" s="157">
        <v>1200</v>
      </c>
      <c r="F69" s="157">
        <v>3200</v>
      </c>
      <c r="G69" s="160">
        <v>3000</v>
      </c>
      <c r="H69" s="157">
        <v>3400</v>
      </c>
    </row>
    <row r="70" spans="3:8" x14ac:dyDescent="0.2">
      <c r="C70" s="148" t="s">
        <v>172</v>
      </c>
      <c r="D70" s="157">
        <v>393928.08350000001</v>
      </c>
      <c r="E70" s="157">
        <v>350000</v>
      </c>
      <c r="F70" s="157">
        <v>360500</v>
      </c>
      <c r="G70" s="160">
        <v>371315</v>
      </c>
      <c r="H70" s="157">
        <v>382454.45</v>
      </c>
    </row>
    <row r="71" spans="3:8" x14ac:dyDescent="0.2">
      <c r="C71" s="145" t="s">
        <v>22</v>
      </c>
      <c r="D71" s="157">
        <v>450203.52399999998</v>
      </c>
      <c r="E71" s="157">
        <v>400000</v>
      </c>
      <c r="F71" s="157">
        <v>412000</v>
      </c>
      <c r="G71" s="160">
        <v>424360</v>
      </c>
      <c r="H71" s="157">
        <v>437090.8</v>
      </c>
    </row>
    <row r="72" spans="3:8" ht="13.5" thickBot="1" x14ac:dyDescent="0.25">
      <c r="C72" s="149" t="s">
        <v>131</v>
      </c>
      <c r="D72" s="157">
        <v>11255.088100000001</v>
      </c>
      <c r="E72" s="157">
        <v>10000</v>
      </c>
      <c r="F72" s="157">
        <v>10300</v>
      </c>
      <c r="G72" s="160">
        <v>10609</v>
      </c>
      <c r="H72" s="157">
        <v>10927.27</v>
      </c>
    </row>
    <row r="73" spans="3:8" ht="13.5" thickBot="1" x14ac:dyDescent="0.25">
      <c r="C73" s="86" t="s">
        <v>173</v>
      </c>
      <c r="D73" s="87">
        <f>SUM(D68:D72)</f>
        <v>1367291.16891</v>
      </c>
      <c r="E73" s="88">
        <f>SUM(E68:E72)</f>
        <v>1212200</v>
      </c>
      <c r="F73" s="88">
        <f>SUM(F68:F72)</f>
        <v>1250530</v>
      </c>
      <c r="G73" s="88">
        <f>SUM(G68:G72)</f>
        <v>1287749.8999999999</v>
      </c>
      <c r="H73" s="89">
        <f>SUM(H68:H72)</f>
        <v>1326692.3970000001</v>
      </c>
    </row>
    <row r="74" spans="3:8" x14ac:dyDescent="0.2">
      <c r="C74" s="150"/>
      <c r="D74" s="70"/>
      <c r="E74" s="151"/>
      <c r="F74" s="70"/>
      <c r="G74" s="139"/>
      <c r="H74" s="70"/>
    </row>
    <row r="75" spans="3:8" x14ac:dyDescent="0.2">
      <c r="C75" s="152" t="s">
        <v>174</v>
      </c>
      <c r="D75" s="142"/>
      <c r="E75" s="142"/>
      <c r="F75" s="142"/>
      <c r="G75" s="153"/>
      <c r="H75" s="142"/>
    </row>
    <row r="76" spans="3:8" x14ac:dyDescent="0.2">
      <c r="C76" s="149" t="s">
        <v>175</v>
      </c>
      <c r="D76" s="155">
        <v>2701221.1440000003</v>
      </c>
      <c r="E76" s="155">
        <v>2400000</v>
      </c>
      <c r="F76" s="155">
        <v>2472000</v>
      </c>
      <c r="G76" s="159">
        <v>2546160</v>
      </c>
      <c r="H76" s="155">
        <v>2622544.7999999998</v>
      </c>
    </row>
    <row r="77" spans="3:8" x14ac:dyDescent="0.2">
      <c r="C77" s="149" t="s">
        <v>176</v>
      </c>
      <c r="D77" s="155">
        <v>450203.52399999998</v>
      </c>
      <c r="E77" s="155">
        <v>400000</v>
      </c>
      <c r="F77" s="155">
        <v>412000</v>
      </c>
      <c r="G77" s="159">
        <v>424360</v>
      </c>
      <c r="H77" s="155">
        <v>437090.8</v>
      </c>
    </row>
    <row r="78" spans="3:8" x14ac:dyDescent="0.2">
      <c r="C78" s="154" t="s">
        <v>177</v>
      </c>
      <c r="D78" s="155">
        <f>+D76-D77</f>
        <v>2251017.62</v>
      </c>
      <c r="E78" s="155">
        <f>+E76-E77</f>
        <v>2000000</v>
      </c>
      <c r="F78" s="155">
        <f>+F76-F77</f>
        <v>2060000</v>
      </c>
      <c r="G78" s="155">
        <f>+G76-G77</f>
        <v>2121800</v>
      </c>
      <c r="H78" s="155">
        <f>+H76-H77</f>
        <v>2185454</v>
      </c>
    </row>
    <row r="79" spans="3:8" ht="13.5" thickBot="1" x14ac:dyDescent="0.25">
      <c r="C79" s="149" t="s">
        <v>178</v>
      </c>
      <c r="D79" s="155">
        <v>58765.264299999995</v>
      </c>
      <c r="E79" s="155">
        <v>55000</v>
      </c>
      <c r="F79" s="155">
        <v>55900</v>
      </c>
      <c r="G79" s="159">
        <v>56827</v>
      </c>
      <c r="H79" s="155">
        <v>57781.81</v>
      </c>
    </row>
    <row r="80" spans="3:8" ht="13.5" thickBot="1" x14ac:dyDescent="0.25">
      <c r="C80" s="86" t="s">
        <v>179</v>
      </c>
      <c r="D80" s="87">
        <f>SUM(D78:D79)</f>
        <v>2309782.8843</v>
      </c>
      <c r="E80" s="88">
        <f>SUM(E78:E79)</f>
        <v>2055000</v>
      </c>
      <c r="F80" s="88">
        <f>SUM(F78:F79)</f>
        <v>2115900</v>
      </c>
      <c r="G80" s="88">
        <f>SUM(G78:G79)</f>
        <v>2178627</v>
      </c>
      <c r="H80" s="89">
        <f>SUM(H78:H79)</f>
        <v>2243235.81</v>
      </c>
    </row>
    <row r="81" spans="3:8" ht="13.5" thickBot="1" x14ac:dyDescent="0.25">
      <c r="C81" s="148"/>
      <c r="D81" s="146"/>
      <c r="E81" s="146"/>
      <c r="F81" s="146"/>
      <c r="G81" s="147"/>
      <c r="H81" s="146"/>
    </row>
    <row r="82" spans="3:8" ht="13.5" thickBot="1" x14ac:dyDescent="0.25">
      <c r="C82" s="86" t="s">
        <v>78</v>
      </c>
      <c r="D82" s="87">
        <f>D73+D80</f>
        <v>3677074.05321</v>
      </c>
      <c r="E82" s="88">
        <f>E73+E80</f>
        <v>3267200</v>
      </c>
      <c r="F82" s="88">
        <f>F73+F80</f>
        <v>3366430</v>
      </c>
      <c r="G82" s="88">
        <f>G73+G80</f>
        <v>3466376.9</v>
      </c>
      <c r="H82" s="89">
        <f>H73+H80</f>
        <v>3569928.2070000004</v>
      </c>
    </row>
    <row r="83" spans="3:8" x14ac:dyDescent="0.2">
      <c r="C83" s="138"/>
      <c r="D83" s="70"/>
      <c r="E83" s="70"/>
      <c r="F83" s="70"/>
      <c r="G83" s="139"/>
      <c r="H83" s="70"/>
    </row>
    <row r="84" spans="3:8" x14ac:dyDescent="0.2">
      <c r="C84" s="140" t="s">
        <v>180</v>
      </c>
      <c r="D84" s="70"/>
      <c r="E84" s="70"/>
      <c r="F84" s="70"/>
      <c r="G84" s="139"/>
      <c r="H84" s="70"/>
    </row>
    <row r="85" spans="3:8" x14ac:dyDescent="0.2">
      <c r="C85" s="138"/>
      <c r="D85" s="141"/>
      <c r="E85" s="70"/>
      <c r="F85" s="70"/>
      <c r="G85" s="139"/>
      <c r="H85" s="70"/>
    </row>
    <row r="86" spans="3:8" x14ac:dyDescent="0.2">
      <c r="C86" s="79" t="s">
        <v>66</v>
      </c>
      <c r="D86" s="142"/>
      <c r="E86" s="143"/>
      <c r="F86" s="143"/>
      <c r="G86" s="144"/>
      <c r="H86" s="143"/>
    </row>
    <row r="87" spans="3:8" x14ac:dyDescent="0.2">
      <c r="C87" s="149" t="s">
        <v>181</v>
      </c>
      <c r="D87" s="155">
        <v>675305.28599999996</v>
      </c>
      <c r="E87" s="155">
        <v>600000</v>
      </c>
      <c r="F87" s="155">
        <v>618000</v>
      </c>
      <c r="G87" s="159">
        <v>636540</v>
      </c>
      <c r="H87" s="155">
        <v>655636.19999999995</v>
      </c>
    </row>
    <row r="88" spans="3:8" x14ac:dyDescent="0.2">
      <c r="C88" s="148" t="s">
        <v>182</v>
      </c>
      <c r="D88" s="156">
        <v>112550.88099999999</v>
      </c>
      <c r="E88" s="156">
        <v>100000</v>
      </c>
      <c r="F88" s="156">
        <v>103000</v>
      </c>
      <c r="G88" s="161">
        <v>106090</v>
      </c>
      <c r="H88" s="156">
        <v>109272.7</v>
      </c>
    </row>
    <row r="89" spans="3:8" x14ac:dyDescent="0.2">
      <c r="C89" s="148" t="s">
        <v>183</v>
      </c>
      <c r="D89" s="156">
        <v>112550.88099999999</v>
      </c>
      <c r="E89" s="156">
        <v>100000</v>
      </c>
      <c r="F89" s="156">
        <v>103000</v>
      </c>
      <c r="G89" s="161">
        <v>106090</v>
      </c>
      <c r="H89" s="156">
        <v>109272.7</v>
      </c>
    </row>
    <row r="90" spans="3:8" x14ac:dyDescent="0.2">
      <c r="C90" s="148" t="s">
        <v>184</v>
      </c>
      <c r="D90" s="156">
        <v>33765.264299999995</v>
      </c>
      <c r="E90" s="156">
        <v>30000</v>
      </c>
      <c r="F90" s="156">
        <v>30900</v>
      </c>
      <c r="G90" s="161">
        <v>31827</v>
      </c>
      <c r="H90" s="156">
        <v>32781.81</v>
      </c>
    </row>
    <row r="91" spans="3:8" x14ac:dyDescent="0.2">
      <c r="C91" s="148" t="s">
        <v>185</v>
      </c>
      <c r="D91" s="156">
        <v>101295.79289999999</v>
      </c>
      <c r="E91" s="156">
        <v>90000</v>
      </c>
      <c r="F91" s="156">
        <v>92700</v>
      </c>
      <c r="G91" s="161">
        <v>95481</v>
      </c>
      <c r="H91" s="156">
        <v>98345.43</v>
      </c>
    </row>
    <row r="92" spans="3:8" ht="13.5" thickBot="1" x14ac:dyDescent="0.25">
      <c r="C92" s="148" t="s">
        <v>131</v>
      </c>
      <c r="D92" s="156">
        <v>18008.140960000001</v>
      </c>
      <c r="E92" s="156">
        <v>16000</v>
      </c>
      <c r="F92" s="156">
        <v>16480</v>
      </c>
      <c r="G92" s="161">
        <v>16974.400000000001</v>
      </c>
      <c r="H92" s="156">
        <v>17483.632000000001</v>
      </c>
    </row>
    <row r="93" spans="3:8" ht="13.5" thickBot="1" x14ac:dyDescent="0.25">
      <c r="C93" s="86" t="s">
        <v>186</v>
      </c>
      <c r="D93" s="87">
        <f>SUM(D87:D92)</f>
        <v>1053476.2461600001</v>
      </c>
      <c r="E93" s="88">
        <f>SUM(E87:E92)</f>
        <v>936000</v>
      </c>
      <c r="F93" s="88">
        <f>SUM(F87:F92)</f>
        <v>964080</v>
      </c>
      <c r="G93" s="88">
        <f>SUM(G87:G92)</f>
        <v>993002.4</v>
      </c>
      <c r="H93" s="89">
        <f>SUM(H87:H92)</f>
        <v>1022792.4719999998</v>
      </c>
    </row>
    <row r="94" spans="3:8" x14ac:dyDescent="0.2">
      <c r="C94" s="150"/>
      <c r="D94" s="70"/>
      <c r="E94" s="151"/>
      <c r="F94" s="70"/>
      <c r="G94" s="139"/>
      <c r="H94" s="70"/>
    </row>
    <row r="95" spans="3:8" x14ac:dyDescent="0.2">
      <c r="C95" s="152" t="s">
        <v>187</v>
      </c>
      <c r="D95" s="142"/>
      <c r="E95" s="142"/>
      <c r="F95" s="142"/>
      <c r="G95" s="153"/>
      <c r="H95" s="142"/>
    </row>
    <row r="96" spans="3:8" x14ac:dyDescent="0.2">
      <c r="C96" s="149" t="s">
        <v>188</v>
      </c>
      <c r="D96" s="155">
        <v>692156.28599999996</v>
      </c>
      <c r="E96" s="155">
        <v>601200</v>
      </c>
      <c r="F96" s="155">
        <v>624200</v>
      </c>
      <c r="G96" s="159">
        <v>645630</v>
      </c>
      <c r="H96" s="155">
        <v>668308.19999999995</v>
      </c>
    </row>
    <row r="97" spans="3:8" x14ac:dyDescent="0.2">
      <c r="C97" s="149" t="s">
        <v>189</v>
      </c>
      <c r="D97" s="155">
        <v>112550.88099999999</v>
      </c>
      <c r="E97" s="155">
        <v>100000</v>
      </c>
      <c r="F97" s="155">
        <v>103000</v>
      </c>
      <c r="G97" s="159">
        <v>106090</v>
      </c>
      <c r="H97" s="155">
        <v>109272.7</v>
      </c>
    </row>
    <row r="98" spans="3:8" ht="13.5" thickBot="1" x14ac:dyDescent="0.25">
      <c r="C98" s="149" t="s">
        <v>190</v>
      </c>
      <c r="D98" s="155">
        <v>85903</v>
      </c>
      <c r="E98" s="155">
        <v>79000</v>
      </c>
      <c r="F98" s="155">
        <v>80650</v>
      </c>
      <c r="G98" s="159">
        <v>82350</v>
      </c>
      <c r="H98" s="155">
        <v>84101</v>
      </c>
    </row>
    <row r="99" spans="3:8" ht="13.5" thickBot="1" x14ac:dyDescent="0.25">
      <c r="C99" s="86" t="s">
        <v>191</v>
      </c>
      <c r="D99" s="87">
        <f>SUM(D96:D98)</f>
        <v>890610.1669999999</v>
      </c>
      <c r="E99" s="88">
        <f>SUM(E96:E98)</f>
        <v>780200</v>
      </c>
      <c r="F99" s="88">
        <f>SUM(F96:F98)</f>
        <v>807850</v>
      </c>
      <c r="G99" s="88">
        <f>SUM(G96:G98)</f>
        <v>834070</v>
      </c>
      <c r="H99" s="89">
        <f>SUM(H96:H98)</f>
        <v>861681.89999999991</v>
      </c>
    </row>
    <row r="100" spans="3:8" ht="13.5" thickBot="1" x14ac:dyDescent="0.25">
      <c r="C100" s="150"/>
      <c r="D100" s="70"/>
      <c r="E100" s="151"/>
      <c r="F100" s="70"/>
      <c r="G100" s="139"/>
      <c r="H100" s="70"/>
    </row>
    <row r="101" spans="3:8" ht="13.5" thickBot="1" x14ac:dyDescent="0.25">
      <c r="C101" s="86" t="s">
        <v>74</v>
      </c>
      <c r="D101" s="87">
        <f>D93+D99</f>
        <v>1944086.41316</v>
      </c>
      <c r="E101" s="88">
        <f>E93+E99</f>
        <v>1716200</v>
      </c>
      <c r="F101" s="88">
        <f>F93+F99</f>
        <v>1771930</v>
      </c>
      <c r="G101" s="88">
        <f>G93+G99</f>
        <v>1827072.4</v>
      </c>
      <c r="H101" s="89">
        <f>H93+H99</f>
        <v>1884474.3719999997</v>
      </c>
    </row>
    <row r="102" spans="3:8" x14ac:dyDescent="0.2">
      <c r="C102" s="152" t="s">
        <v>192</v>
      </c>
      <c r="D102" s="142"/>
      <c r="E102" s="142"/>
      <c r="F102" s="142"/>
      <c r="G102" s="153"/>
      <c r="H102" s="142"/>
    </row>
    <row r="103" spans="3:8" x14ac:dyDescent="0.2">
      <c r="C103" s="149" t="s">
        <v>193</v>
      </c>
      <c r="D103" s="155">
        <v>100000</v>
      </c>
      <c r="E103" s="155">
        <v>100000</v>
      </c>
      <c r="F103" s="155">
        <v>100000</v>
      </c>
      <c r="G103" s="159">
        <v>100000</v>
      </c>
      <c r="H103" s="155">
        <v>100000</v>
      </c>
    </row>
    <row r="104" spans="3:8" x14ac:dyDescent="0.2">
      <c r="C104" s="149" t="s">
        <v>194</v>
      </c>
      <c r="D104" s="155">
        <v>1000</v>
      </c>
      <c r="E104" s="155">
        <v>1000</v>
      </c>
      <c r="F104" s="155">
        <v>1000</v>
      </c>
      <c r="G104" s="159">
        <v>1000</v>
      </c>
      <c r="H104" s="155">
        <v>1000</v>
      </c>
    </row>
    <row r="105" spans="3:8" x14ac:dyDescent="0.2">
      <c r="C105" s="149" t="s">
        <v>195</v>
      </c>
      <c r="D105" s="155">
        <v>56275.440499999997</v>
      </c>
      <c r="E105" s="155">
        <v>50000</v>
      </c>
      <c r="F105" s="155">
        <v>51500</v>
      </c>
      <c r="G105" s="159">
        <v>53045</v>
      </c>
      <c r="H105" s="155">
        <v>54636.35</v>
      </c>
    </row>
    <row r="106" spans="3:8" ht="13.5" thickBot="1" x14ac:dyDescent="0.25">
      <c r="C106" s="149" t="s">
        <v>131</v>
      </c>
      <c r="D106" s="155">
        <v>1575712.334</v>
      </c>
      <c r="E106" s="155">
        <v>1400000</v>
      </c>
      <c r="F106" s="155">
        <v>1442000</v>
      </c>
      <c r="G106" s="159">
        <v>1485260</v>
      </c>
      <c r="H106" s="155">
        <v>1529817.8</v>
      </c>
    </row>
    <row r="107" spans="3:8" ht="13.5" thickBot="1" x14ac:dyDescent="0.25">
      <c r="C107" s="86" t="s">
        <v>196</v>
      </c>
      <c r="D107" s="87">
        <f>SUM(D103:D106)</f>
        <v>1732987.7745000001</v>
      </c>
      <c r="E107" s="88">
        <f>SUM(E103:E106)</f>
        <v>1551000</v>
      </c>
      <c r="F107" s="88">
        <f>SUM(F103:F106)</f>
        <v>1594500</v>
      </c>
      <c r="G107" s="88">
        <f>SUM(G103:G106)</f>
        <v>1639305</v>
      </c>
      <c r="H107" s="89">
        <f>SUM(H103:H106)</f>
        <v>1685454.1500000001</v>
      </c>
    </row>
    <row r="108" spans="3:8" ht="13.5" thickBot="1" x14ac:dyDescent="0.25">
      <c r="C108" s="148"/>
      <c r="D108" s="146"/>
      <c r="E108" s="146"/>
      <c r="F108" s="146"/>
      <c r="G108" s="147"/>
      <c r="H108" s="146"/>
    </row>
    <row r="109" spans="3:8" ht="13.5" thickBot="1" x14ac:dyDescent="0.25">
      <c r="C109" s="86" t="s">
        <v>197</v>
      </c>
      <c r="D109" s="87">
        <f>D93+D99+D107</f>
        <v>3677074.1876600003</v>
      </c>
      <c r="E109" s="88">
        <f>E93+E99+E107</f>
        <v>3267200</v>
      </c>
      <c r="F109" s="88">
        <f>F93+F99+F107</f>
        <v>3366430</v>
      </c>
      <c r="G109" s="88">
        <f>G93+G99+G107</f>
        <v>3466377.4</v>
      </c>
      <c r="H109" s="89">
        <f>H93+H99+H107</f>
        <v>3569928.5219999999</v>
      </c>
    </row>
    <row r="111" spans="3:8" x14ac:dyDescent="0.2">
      <c r="C111" s="186"/>
      <c r="D111" s="187"/>
      <c r="E111" s="187"/>
      <c r="F111" s="187"/>
      <c r="G111" s="187"/>
      <c r="H111" s="187"/>
    </row>
  </sheetData>
  <mergeCells count="3">
    <mergeCell ref="C60:G60"/>
    <mergeCell ref="D61:H61"/>
    <mergeCell ref="C111:H111"/>
  </mergeCells>
  <phoneticPr fontId="0" type="noConversion"/>
  <printOptions horizontalCentered="1"/>
  <pageMargins left="0.23622047244094491" right="0.23622047244094491" top="0.74803149606299213" bottom="0.74803149606299213" header="0.23622047244094491" footer="0.51181102362204722"/>
  <pageSetup scale="94" orientation="portrait" horizontalDpi="4294967294" r:id="rId1"/>
  <headerFooter alignWithMargins="0"/>
  <rowBreaks count="1" manualBreakCount="1">
    <brk id="58" min="2" max="7" man="1"/>
  </rowBreaks>
  <colBreaks count="1" manualBreakCount="1">
    <brk id="8"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wksTemplate2">
    <pageSetUpPr autoPageBreaks="0"/>
  </sheetPr>
  <dimension ref="A1:J90"/>
  <sheetViews>
    <sheetView showGridLines="0" showRowColHeaders="0" topLeftCell="A49" zoomScaleNormal="100" workbookViewId="0">
      <selection activeCell="A49" sqref="A49"/>
    </sheetView>
  </sheetViews>
  <sheetFormatPr defaultRowHeight="11.25" x14ac:dyDescent="0.2"/>
  <cols>
    <col min="1" max="1" width="1.5703125" style="2" customWidth="1"/>
    <col min="2" max="2" width="11.42578125" style="1" customWidth="1"/>
    <col min="3" max="3" width="5.28515625" style="2" customWidth="1"/>
    <col min="4" max="4" width="36.140625" style="2" customWidth="1"/>
    <col min="5" max="5" width="19.140625" style="3" hidden="1" customWidth="1"/>
    <col min="6" max="9" width="11.42578125" style="2" bestFit="1" customWidth="1"/>
    <col min="10" max="16384" width="9.140625" style="2"/>
  </cols>
  <sheetData>
    <row r="1" spans="2:9" hidden="1" x14ac:dyDescent="0.2">
      <c r="I1" s="4"/>
    </row>
    <row r="2" spans="2:9" ht="13.5" hidden="1" customHeight="1" x14ac:dyDescent="0.2">
      <c r="B2" s="5" t="s">
        <v>0</v>
      </c>
      <c r="F2" s="1">
        <v>1213</v>
      </c>
      <c r="G2" s="2">
        <v>1214</v>
      </c>
      <c r="H2" s="2">
        <v>1215</v>
      </c>
      <c r="I2" s="4">
        <v>1216</v>
      </c>
    </row>
    <row r="3" spans="2:9" hidden="1" x14ac:dyDescent="0.2">
      <c r="B3" s="1" t="s">
        <v>1</v>
      </c>
      <c r="C3" s="2" t="s">
        <v>2</v>
      </c>
      <c r="F3" s="6">
        <v>0</v>
      </c>
      <c r="G3" s="6">
        <v>0</v>
      </c>
      <c r="H3" s="6">
        <v>0</v>
      </c>
      <c r="I3" s="6">
        <v>0</v>
      </c>
    </row>
    <row r="4" spans="2:9" s="8" customFormat="1" hidden="1" x14ac:dyDescent="0.2">
      <c r="B4" s="7" t="s">
        <v>3</v>
      </c>
      <c r="C4" s="8" t="s">
        <v>4</v>
      </c>
      <c r="E4" s="9"/>
      <c r="F4" s="10">
        <f>'Data Entry'!E77</f>
        <v>400000</v>
      </c>
      <c r="G4" s="11">
        <f>'Data Entry'!F77</f>
        <v>412000</v>
      </c>
      <c r="H4" s="11">
        <f>'Data Entry'!G77</f>
        <v>424360</v>
      </c>
      <c r="I4" s="12">
        <f>'Data Entry'!H77</f>
        <v>437090.8</v>
      </c>
    </row>
    <row r="5" spans="2:9" hidden="1" x14ac:dyDescent="0.2">
      <c r="B5" s="1" t="s">
        <v>5</v>
      </c>
      <c r="C5" s="2" t="s">
        <v>6</v>
      </c>
      <c r="F5" s="6">
        <f>'Data Entry'!D40</f>
        <v>1000</v>
      </c>
      <c r="G5" s="13">
        <f>'Data Entry'!E40</f>
        <v>1030</v>
      </c>
      <c r="H5" s="13">
        <f>'Data Entry'!F40</f>
        <v>1060.9000000000001</v>
      </c>
      <c r="I5" s="14">
        <f>'Data Entry'!G40</f>
        <v>1060.9000000000001</v>
      </c>
    </row>
    <row r="6" spans="2:9" s="8" customFormat="1" hidden="1" x14ac:dyDescent="0.2">
      <c r="B6" s="7" t="s">
        <v>7</v>
      </c>
      <c r="C6" s="8" t="s">
        <v>8</v>
      </c>
      <c r="E6" s="9"/>
      <c r="F6" s="10">
        <f>'Data Entry'!E89</f>
        <v>100000</v>
      </c>
      <c r="G6" s="11">
        <f>'Data Entry'!F89</f>
        <v>103000</v>
      </c>
      <c r="H6" s="11">
        <f>'Data Entry'!G89</f>
        <v>106090</v>
      </c>
      <c r="I6" s="12">
        <f>'Data Entry'!H89</f>
        <v>109272.7</v>
      </c>
    </row>
    <row r="7" spans="2:9" s="8" customFormat="1" hidden="1" x14ac:dyDescent="0.2">
      <c r="B7" s="7" t="s">
        <v>9</v>
      </c>
      <c r="C7" s="8" t="s">
        <v>10</v>
      </c>
      <c r="E7" s="9"/>
      <c r="F7" s="10">
        <f>'Data Entry'!E70</f>
        <v>350000</v>
      </c>
      <c r="G7" s="11">
        <f>'Data Entry'!F70</f>
        <v>360500</v>
      </c>
      <c r="H7" s="11">
        <f>'Data Entry'!G70</f>
        <v>371315</v>
      </c>
      <c r="I7" s="12">
        <f>'Data Entry'!H70</f>
        <v>382454.45</v>
      </c>
    </row>
    <row r="8" spans="2:9" hidden="1" x14ac:dyDescent="0.2">
      <c r="B8" s="1" t="s">
        <v>11</v>
      </c>
      <c r="C8" s="2" t="s">
        <v>12</v>
      </c>
      <c r="F8" s="6">
        <v>0</v>
      </c>
      <c r="G8" s="6">
        <v>0</v>
      </c>
      <c r="H8" s="6">
        <v>0</v>
      </c>
      <c r="I8" s="6">
        <v>0</v>
      </c>
    </row>
    <row r="9" spans="2:9" s="8" customFormat="1" hidden="1" x14ac:dyDescent="0.2">
      <c r="B9" s="7" t="s">
        <v>13</v>
      </c>
      <c r="C9" s="8" t="s">
        <v>14</v>
      </c>
      <c r="E9" s="9"/>
      <c r="F9" s="10">
        <f>'Data Entry'!E68</f>
        <v>451000</v>
      </c>
      <c r="G9" s="11">
        <f>'Data Entry'!F68</f>
        <v>464530</v>
      </c>
      <c r="H9" s="11">
        <f>'Data Entry'!G68</f>
        <v>478465.9</v>
      </c>
      <c r="I9" s="12">
        <f>'Data Entry'!H68</f>
        <v>492819.87700000004</v>
      </c>
    </row>
    <row r="10" spans="2:9" s="8" customFormat="1" hidden="1" x14ac:dyDescent="0.2">
      <c r="B10" s="7" t="s">
        <v>15</v>
      </c>
      <c r="C10" s="8" t="s">
        <v>16</v>
      </c>
      <c r="E10" s="9"/>
      <c r="F10" s="10">
        <f>'Data Entry'!D19</f>
        <v>945000</v>
      </c>
      <c r="G10" s="11">
        <f>'Data Entry'!E19</f>
        <v>973350</v>
      </c>
      <c r="H10" s="11">
        <f>'Data Entry'!F19</f>
        <v>1002550.5</v>
      </c>
      <c r="I10" s="12">
        <f>'Data Entry'!G19</f>
        <v>1120900.5</v>
      </c>
    </row>
    <row r="11" spans="2:9" s="8" customFormat="1" hidden="1" x14ac:dyDescent="0.2">
      <c r="B11" s="7" t="s">
        <v>17</v>
      </c>
      <c r="C11" s="8" t="s">
        <v>18</v>
      </c>
      <c r="E11" s="9"/>
      <c r="F11" s="10">
        <f>'Data Entry'!E107</f>
        <v>1551000</v>
      </c>
      <c r="G11" s="11">
        <f>'Data Entry'!F107</f>
        <v>1594500</v>
      </c>
      <c r="H11" s="11">
        <f>'Data Entry'!G107</f>
        <v>1639305</v>
      </c>
      <c r="I11" s="12">
        <f>'Data Entry'!H107</f>
        <v>1685454.1500000001</v>
      </c>
    </row>
    <row r="12" spans="2:9" s="8" customFormat="1" hidden="1" x14ac:dyDescent="0.2">
      <c r="B12" s="7" t="s">
        <v>19</v>
      </c>
      <c r="C12" s="8" t="s">
        <v>20</v>
      </c>
      <c r="E12" s="9"/>
      <c r="F12" s="10">
        <f>'Data Entry'!D41</f>
        <v>6000</v>
      </c>
      <c r="G12" s="11">
        <f>'Data Entry'!E41</f>
        <v>6000</v>
      </c>
      <c r="H12" s="11">
        <f>'Data Entry'!F41</f>
        <v>6000</v>
      </c>
      <c r="I12" s="12">
        <f>'Data Entry'!G41</f>
        <v>6000</v>
      </c>
    </row>
    <row r="13" spans="2:9" s="8" customFormat="1" hidden="1" x14ac:dyDescent="0.2">
      <c r="B13" s="7" t="s">
        <v>21</v>
      </c>
      <c r="C13" s="8" t="s">
        <v>22</v>
      </c>
      <c r="E13" s="9"/>
      <c r="F13" s="10">
        <f>'Data Entry'!E71</f>
        <v>400000</v>
      </c>
      <c r="G13" s="11">
        <f>'Data Entry'!F71</f>
        <v>412000</v>
      </c>
      <c r="H13" s="11">
        <f>'Data Entry'!G71</f>
        <v>424360</v>
      </c>
      <c r="I13" s="12">
        <f>'Data Entry'!H71</f>
        <v>437090.8</v>
      </c>
    </row>
    <row r="14" spans="2:9" s="8" customFormat="1" hidden="1" x14ac:dyDescent="0.2">
      <c r="B14" s="7" t="s">
        <v>23</v>
      </c>
      <c r="C14" s="8" t="s">
        <v>24</v>
      </c>
      <c r="E14" s="9"/>
      <c r="F14" s="10">
        <f>'Data Entry'!D53</f>
        <v>148563</v>
      </c>
      <c r="G14" s="11">
        <f>'Data Entry'!E53</f>
        <v>149143.89000000001</v>
      </c>
      <c r="H14" s="11">
        <f>'Data Entry'!F53</f>
        <v>152922.20669999992</v>
      </c>
      <c r="I14" s="12">
        <f>'Data Entry'!G53</f>
        <v>162629.09669999999</v>
      </c>
    </row>
    <row r="15" spans="2:9" s="8" customFormat="1" hidden="1" x14ac:dyDescent="0.2">
      <c r="B15" s="7" t="s">
        <v>25</v>
      </c>
      <c r="C15" s="8" t="s">
        <v>26</v>
      </c>
      <c r="E15" s="9"/>
      <c r="F15" s="10">
        <f>'Data Entry'!E99</f>
        <v>780200</v>
      </c>
      <c r="G15" s="11">
        <f>'Data Entry'!F99</f>
        <v>807850</v>
      </c>
      <c r="H15" s="11">
        <f>'Data Entry'!G99</f>
        <v>834070</v>
      </c>
      <c r="I15" s="12">
        <f>'Data Entry'!H99</f>
        <v>861681.89999999991</v>
      </c>
    </row>
    <row r="16" spans="2:9" s="8" customFormat="1" hidden="1" x14ac:dyDescent="0.2">
      <c r="B16" s="7" t="s">
        <v>27</v>
      </c>
      <c r="C16" s="8" t="s">
        <v>28</v>
      </c>
      <c r="E16" s="9"/>
      <c r="F16" s="10">
        <f>'Data Entry'!D12</f>
        <v>2010000</v>
      </c>
      <c r="G16" s="11">
        <f>'Data Entry'!E12</f>
        <v>2060000</v>
      </c>
      <c r="H16" s="11">
        <f>'Data Entry'!F12</f>
        <v>2121800</v>
      </c>
      <c r="I16" s="12">
        <f>'Data Entry'!G12</f>
        <v>2391800</v>
      </c>
    </row>
    <row r="17" spans="2:9" hidden="1" x14ac:dyDescent="0.2">
      <c r="B17" s="1" t="s">
        <v>29</v>
      </c>
      <c r="C17" s="2" t="s">
        <v>30</v>
      </c>
      <c r="F17" s="6">
        <v>0</v>
      </c>
      <c r="G17" s="6">
        <v>0</v>
      </c>
      <c r="H17" s="6">
        <v>0</v>
      </c>
      <c r="I17" s="6">
        <v>0</v>
      </c>
    </row>
    <row r="18" spans="2:9" hidden="1" x14ac:dyDescent="0.2">
      <c r="B18" s="1" t="s">
        <v>31</v>
      </c>
      <c r="C18" s="2" t="s">
        <v>32</v>
      </c>
      <c r="F18" s="6">
        <v>0</v>
      </c>
      <c r="G18" s="6">
        <v>0</v>
      </c>
      <c r="H18" s="6">
        <v>0</v>
      </c>
      <c r="I18" s="6">
        <v>0</v>
      </c>
    </row>
    <row r="19" spans="2:9" hidden="1" x14ac:dyDescent="0.2">
      <c r="B19" s="1" t="s">
        <v>33</v>
      </c>
      <c r="C19" s="2" t="s">
        <v>34</v>
      </c>
      <c r="F19" s="6">
        <v>0</v>
      </c>
      <c r="G19" s="6">
        <v>0</v>
      </c>
      <c r="H19" s="6">
        <v>0</v>
      </c>
      <c r="I19" s="6">
        <v>0</v>
      </c>
    </row>
    <row r="20" spans="2:9" hidden="1" x14ac:dyDescent="0.2">
      <c r="B20" s="1" t="s">
        <v>35</v>
      </c>
      <c r="C20" s="2" t="s">
        <v>36</v>
      </c>
      <c r="F20" s="6">
        <v>0</v>
      </c>
      <c r="G20" s="6">
        <v>0</v>
      </c>
      <c r="H20" s="6">
        <v>0</v>
      </c>
      <c r="I20" s="6">
        <v>0</v>
      </c>
    </row>
    <row r="21" spans="2:9" hidden="1" x14ac:dyDescent="0.2">
      <c r="B21" s="1" t="s">
        <v>37</v>
      </c>
      <c r="C21" s="2" t="s">
        <v>38</v>
      </c>
      <c r="F21" s="6">
        <v>0</v>
      </c>
      <c r="G21" s="6">
        <v>0</v>
      </c>
      <c r="H21" s="6">
        <v>0</v>
      </c>
      <c r="I21" s="6">
        <v>0</v>
      </c>
    </row>
    <row r="22" spans="2:9" hidden="1" x14ac:dyDescent="0.2">
      <c r="B22" s="1" t="s">
        <v>39</v>
      </c>
      <c r="C22" s="2" t="s">
        <v>40</v>
      </c>
      <c r="F22" s="6">
        <v>0</v>
      </c>
      <c r="G22" s="6">
        <v>0</v>
      </c>
      <c r="H22" s="6">
        <v>0</v>
      </c>
      <c r="I22" s="6">
        <v>0</v>
      </c>
    </row>
    <row r="23" spans="2:9" hidden="1" x14ac:dyDescent="0.2">
      <c r="B23" s="1" t="s">
        <v>41</v>
      </c>
      <c r="C23" s="2" t="s">
        <v>42</v>
      </c>
      <c r="F23" s="6">
        <v>0</v>
      </c>
      <c r="G23" s="6">
        <v>0</v>
      </c>
      <c r="H23" s="6">
        <v>0</v>
      </c>
      <c r="I23" s="6">
        <v>0</v>
      </c>
    </row>
    <row r="24" spans="2:9" hidden="1" x14ac:dyDescent="0.2">
      <c r="B24" s="1" t="s">
        <v>43</v>
      </c>
      <c r="C24" s="2" t="s">
        <v>44</v>
      </c>
      <c r="F24" s="6">
        <v>0</v>
      </c>
      <c r="G24" s="6">
        <v>0</v>
      </c>
      <c r="H24" s="6">
        <v>0</v>
      </c>
      <c r="I24" s="6">
        <v>0</v>
      </c>
    </row>
    <row r="25" spans="2:9" s="8" customFormat="1" hidden="1" x14ac:dyDescent="0.2">
      <c r="B25" s="7" t="s">
        <v>45</v>
      </c>
      <c r="C25" s="8" t="s">
        <v>46</v>
      </c>
      <c r="E25" s="9"/>
      <c r="F25" s="10">
        <f>'Data Entry'!E76</f>
        <v>2400000</v>
      </c>
      <c r="G25" s="11">
        <f>'Data Entry'!F76</f>
        <v>2472000</v>
      </c>
      <c r="H25" s="11">
        <f>'Data Entry'!G76</f>
        <v>2546160</v>
      </c>
      <c r="I25" s="12">
        <f>'Data Entry'!H76</f>
        <v>2622544.7999999998</v>
      </c>
    </row>
    <row r="26" spans="2:9" s="8" customFormat="1" hidden="1" x14ac:dyDescent="0.2">
      <c r="B26" s="7" t="s">
        <v>47</v>
      </c>
      <c r="C26" s="8" t="s">
        <v>48</v>
      </c>
      <c r="E26" s="9"/>
      <c r="F26" s="10">
        <f>'Data Entry'!E105</f>
        <v>50000</v>
      </c>
      <c r="G26" s="11">
        <f>'Data Entry'!F105</f>
        <v>51500</v>
      </c>
      <c r="H26" s="11">
        <f>'Data Entry'!G105</f>
        <v>53045</v>
      </c>
      <c r="I26" s="12">
        <f>'Data Entry'!H105</f>
        <v>54636.35</v>
      </c>
    </row>
    <row r="27" spans="2:9" s="8" customFormat="1" hidden="1" x14ac:dyDescent="0.2">
      <c r="B27" s="7" t="s">
        <v>49</v>
      </c>
      <c r="C27" s="8" t="s">
        <v>50</v>
      </c>
      <c r="E27" s="9"/>
      <c r="F27" s="10">
        <f>'Data Entry'!E87</f>
        <v>600000</v>
      </c>
      <c r="G27" s="11">
        <f>'Data Entry'!F87</f>
        <v>618000</v>
      </c>
      <c r="H27" s="11">
        <f>'Data Entry'!G87</f>
        <v>636540</v>
      </c>
      <c r="I27" s="12">
        <f>'Data Entry'!H87</f>
        <v>655636.19999999995</v>
      </c>
    </row>
    <row r="28" spans="2:9" hidden="1" x14ac:dyDescent="0.2">
      <c r="B28" s="1" t="s">
        <v>51</v>
      </c>
      <c r="C28" s="1" t="s">
        <v>52</v>
      </c>
      <c r="F28" s="2">
        <v>2001</v>
      </c>
      <c r="G28" s="2">
        <v>2001</v>
      </c>
      <c r="H28" s="2">
        <v>2001</v>
      </c>
      <c r="I28" s="4">
        <v>2001</v>
      </c>
    </row>
    <row r="29" spans="2:9" hidden="1" x14ac:dyDescent="0.2">
      <c r="B29" s="1" t="s">
        <v>53</v>
      </c>
      <c r="C29" s="1" t="s">
        <v>54</v>
      </c>
      <c r="F29" s="2">
        <v>1</v>
      </c>
      <c r="G29" s="2">
        <v>2</v>
      </c>
      <c r="H29" s="2">
        <v>3</v>
      </c>
      <c r="I29" s="4">
        <v>4</v>
      </c>
    </row>
    <row r="30" spans="2:9" hidden="1" x14ac:dyDescent="0.2">
      <c r="B30" s="1" t="s">
        <v>55</v>
      </c>
      <c r="C30" s="2" t="s">
        <v>56</v>
      </c>
      <c r="F30" s="2">
        <v>1213</v>
      </c>
      <c r="G30" s="2">
        <v>1214</v>
      </c>
      <c r="H30" s="2">
        <v>1215</v>
      </c>
      <c r="I30" s="4">
        <v>1216</v>
      </c>
    </row>
    <row r="31" spans="2:9" hidden="1" x14ac:dyDescent="0.2">
      <c r="B31" s="1" t="s">
        <v>57</v>
      </c>
      <c r="C31" s="2" t="s">
        <v>58</v>
      </c>
      <c r="F31" s="2">
        <v>30</v>
      </c>
      <c r="G31" s="2">
        <v>31</v>
      </c>
      <c r="H31" s="2">
        <v>30</v>
      </c>
      <c r="I31" s="4">
        <v>31</v>
      </c>
    </row>
    <row r="32" spans="2:9" hidden="1" x14ac:dyDescent="0.2">
      <c r="B32" s="1" t="s">
        <v>59</v>
      </c>
      <c r="C32" s="2" t="s">
        <v>60</v>
      </c>
      <c r="F32" s="2">
        <v>365</v>
      </c>
      <c r="G32" s="2">
        <v>365</v>
      </c>
      <c r="H32" s="2">
        <v>365</v>
      </c>
      <c r="I32" s="4">
        <v>365</v>
      </c>
    </row>
    <row r="33" spans="1:9" ht="12" hidden="1" thickBot="1" x14ac:dyDescent="0.25">
      <c r="B33" s="1" t="s">
        <v>61</v>
      </c>
      <c r="C33" s="2" t="s">
        <v>62</v>
      </c>
      <c r="F33" s="15">
        <v>36646</v>
      </c>
      <c r="G33" s="15">
        <v>36677</v>
      </c>
      <c r="H33" s="15">
        <v>36707</v>
      </c>
      <c r="I33" s="16">
        <v>36738</v>
      </c>
    </row>
    <row r="34" spans="1:9" s="18" customFormat="1" ht="12" hidden="1" thickTop="1" x14ac:dyDescent="0.2">
      <c r="A34" s="17"/>
      <c r="B34" s="18" t="s">
        <v>63</v>
      </c>
      <c r="C34" s="18" t="s">
        <v>64</v>
      </c>
      <c r="F34" s="19">
        <f>'Data Entry'!E73</f>
        <v>1212200</v>
      </c>
      <c r="G34" s="19">
        <f>'Data Entry'!F73</f>
        <v>1250530</v>
      </c>
      <c r="H34" s="19">
        <f>'Data Entry'!G73</f>
        <v>1287749.8999999999</v>
      </c>
      <c r="I34" s="20">
        <f>'Data Entry'!H73</f>
        <v>1326692.3970000001</v>
      </c>
    </row>
    <row r="35" spans="1:9" s="8" customFormat="1" hidden="1" x14ac:dyDescent="0.2">
      <c r="B35" s="7" t="s">
        <v>65</v>
      </c>
      <c r="C35" s="8" t="s">
        <v>66</v>
      </c>
      <c r="D35" s="7"/>
      <c r="E35" s="9"/>
      <c r="F35" s="10">
        <f>'Data Entry'!E93</f>
        <v>936000</v>
      </c>
      <c r="G35" s="10">
        <f>'Data Entry'!F93</f>
        <v>964080</v>
      </c>
      <c r="H35" s="10">
        <f>'Data Entry'!G93</f>
        <v>993002.4</v>
      </c>
      <c r="I35" s="21">
        <f>'Data Entry'!H93</f>
        <v>1022792.4719999998</v>
      </c>
    </row>
    <row r="36" spans="1:9" s="8" customFormat="1" hidden="1" x14ac:dyDescent="0.2">
      <c r="B36" s="7" t="s">
        <v>67</v>
      </c>
      <c r="C36" s="8" t="s">
        <v>68</v>
      </c>
      <c r="D36" s="7"/>
      <c r="E36" s="9"/>
      <c r="F36" s="10">
        <f>('Data Entry'!D73-'Data Entry'!D71)</f>
        <v>917087.64491000003</v>
      </c>
      <c r="G36" s="10">
        <f>('Data Entry'!E73-'Data Entry'!E71)</f>
        <v>812200</v>
      </c>
      <c r="H36" s="10">
        <f>('Data Entry'!F73-'Data Entry'!F71)</f>
        <v>838530</v>
      </c>
      <c r="I36" s="10">
        <f>('Data Entry'!G73-'Data Entry'!G71)</f>
        <v>863389.89999999991</v>
      </c>
    </row>
    <row r="37" spans="1:9" s="8" customFormat="1" hidden="1" x14ac:dyDescent="0.2">
      <c r="B37" s="7" t="s">
        <v>69</v>
      </c>
      <c r="C37" s="8" t="s">
        <v>70</v>
      </c>
      <c r="D37" s="7"/>
      <c r="E37" s="9"/>
      <c r="F37" s="10">
        <f>'Data Entry'!E70</f>
        <v>350000</v>
      </c>
      <c r="G37" s="10">
        <f>'Data Entry'!F70</f>
        <v>360500</v>
      </c>
      <c r="H37" s="10">
        <f>'Data Entry'!G70</f>
        <v>371315</v>
      </c>
      <c r="I37" s="21">
        <f>'Data Entry'!H70</f>
        <v>382454.45</v>
      </c>
    </row>
    <row r="38" spans="1:9" s="8" customFormat="1" hidden="1" x14ac:dyDescent="0.2">
      <c r="B38" s="7" t="s">
        <v>71</v>
      </c>
      <c r="C38" s="8" t="s">
        <v>72</v>
      </c>
      <c r="D38" s="7"/>
      <c r="E38" s="9"/>
      <c r="F38" s="10">
        <f>'Data Entry'!D82-'Data Entry'!D101</f>
        <v>1732987.64005</v>
      </c>
      <c r="G38" s="10">
        <f>'Data Entry'!E82-'Data Entry'!E101</f>
        <v>1551000</v>
      </c>
      <c r="H38" s="10">
        <f>'Data Entry'!F82-'Data Entry'!F101</f>
        <v>1594500</v>
      </c>
      <c r="I38" s="10">
        <f>'Data Entry'!G82-'Data Entry'!G101</f>
        <v>1639304.5</v>
      </c>
    </row>
    <row r="39" spans="1:9" s="8" customFormat="1" hidden="1" x14ac:dyDescent="0.2">
      <c r="B39" s="7" t="s">
        <v>73</v>
      </c>
      <c r="C39" s="8" t="s">
        <v>74</v>
      </c>
      <c r="D39" s="7"/>
      <c r="E39" s="9"/>
      <c r="F39" s="10">
        <f>'Data Entry'!E101</f>
        <v>1716200</v>
      </c>
      <c r="G39" s="10">
        <f>'Data Entry'!F101</f>
        <v>1771930</v>
      </c>
      <c r="H39" s="10">
        <f>'Data Entry'!G101</f>
        <v>1827072.4</v>
      </c>
      <c r="I39" s="21">
        <f>'Data Entry'!H101</f>
        <v>1884474.3719999997</v>
      </c>
    </row>
    <row r="40" spans="1:9" s="8" customFormat="1" hidden="1" x14ac:dyDescent="0.2">
      <c r="B40" s="7" t="s">
        <v>75</v>
      </c>
      <c r="C40" s="8" t="s">
        <v>76</v>
      </c>
      <c r="D40" s="7"/>
      <c r="E40" s="9"/>
      <c r="F40" s="10">
        <f>'Data Entry'!D73-'Data Entry'!D93</f>
        <v>313814.92274999991</v>
      </c>
      <c r="G40" s="10">
        <f>'Data Entry'!E73-'Data Entry'!E93</f>
        <v>276200</v>
      </c>
      <c r="H40" s="10">
        <f>'Data Entry'!F73-'Data Entry'!F93</f>
        <v>286450</v>
      </c>
      <c r="I40" s="10">
        <f>'Data Entry'!G73-'Data Entry'!G93</f>
        <v>294747.49999999988</v>
      </c>
    </row>
    <row r="41" spans="1:9" s="8" customFormat="1" hidden="1" x14ac:dyDescent="0.2">
      <c r="B41" s="7" t="s">
        <v>77</v>
      </c>
      <c r="C41" s="8" t="s">
        <v>78</v>
      </c>
      <c r="D41" s="7"/>
      <c r="E41" s="9"/>
      <c r="F41" s="10">
        <f>'Data Entry'!E82</f>
        <v>3267200</v>
      </c>
      <c r="G41" s="10">
        <f>'Data Entry'!F82</f>
        <v>3366430</v>
      </c>
      <c r="H41" s="10">
        <f>'Data Entry'!G82</f>
        <v>3466376.9</v>
      </c>
      <c r="I41" s="21">
        <f>'Data Entry'!H82</f>
        <v>3569928.2070000004</v>
      </c>
    </row>
    <row r="42" spans="1:9" s="8" customFormat="1" hidden="1" x14ac:dyDescent="0.2">
      <c r="B42" s="7" t="s">
        <v>79</v>
      </c>
      <c r="C42" s="8" t="s">
        <v>80</v>
      </c>
      <c r="D42" s="7"/>
      <c r="E42" s="9"/>
      <c r="F42" s="10">
        <f>'Data Entry'!D55</f>
        <v>615554</v>
      </c>
      <c r="G42" s="10">
        <f>'Data Entry'!E55</f>
        <v>633476.62</v>
      </c>
      <c r="H42" s="10">
        <f>'Data Entry'!F55</f>
        <v>659056.91859999974</v>
      </c>
      <c r="I42" s="21">
        <f>'Data Entry'!G55</f>
        <v>798347.52859999973</v>
      </c>
    </row>
    <row r="43" spans="1:9" s="8" customFormat="1" hidden="1" x14ac:dyDescent="0.2">
      <c r="B43" s="7" t="s">
        <v>81</v>
      </c>
      <c r="C43" s="8" t="s">
        <v>82</v>
      </c>
      <c r="D43" s="7"/>
      <c r="E43" s="9"/>
      <c r="F43" s="10">
        <f>'Data Entry'!D51</f>
        <v>764117</v>
      </c>
      <c r="G43" s="10">
        <f>'Data Entry'!E51</f>
        <v>782620.51</v>
      </c>
      <c r="H43" s="10">
        <f>'Data Entry'!F51</f>
        <v>811979.12529999972</v>
      </c>
      <c r="I43" s="21">
        <f>'Data Entry'!G51</f>
        <v>960976.62529999972</v>
      </c>
    </row>
    <row r="44" spans="1:9" s="8" customFormat="1" hidden="1" x14ac:dyDescent="0.2">
      <c r="B44" s="7" t="s">
        <v>83</v>
      </c>
      <c r="C44" s="8" t="s">
        <v>84</v>
      </c>
      <c r="D44" s="7"/>
      <c r="E44" s="9"/>
      <c r="F44" s="10">
        <f>'Data Entry'!E80</f>
        <v>2055000</v>
      </c>
      <c r="G44" s="10">
        <f>'Data Entry'!F80</f>
        <v>2115900</v>
      </c>
      <c r="H44" s="10">
        <f>'Data Entry'!G80</f>
        <v>2178627</v>
      </c>
      <c r="I44" s="21">
        <f>'Data Entry'!H80</f>
        <v>2243235.81</v>
      </c>
    </row>
    <row r="45" spans="1:9" s="8" customFormat="1" hidden="1" x14ac:dyDescent="0.2">
      <c r="B45" s="7" t="s">
        <v>85</v>
      </c>
      <c r="C45" s="8" t="s">
        <v>86</v>
      </c>
      <c r="D45" s="7"/>
      <c r="E45" s="9"/>
      <c r="F45" s="10">
        <f>'Data Entry'!D43</f>
        <v>317133</v>
      </c>
      <c r="G45" s="10">
        <f>'Data Entry'!E43</f>
        <v>320766.99</v>
      </c>
      <c r="H45" s="10">
        <f>'Data Entry'!F43</f>
        <v>324509.99970000022</v>
      </c>
      <c r="I45" s="21">
        <f>'Data Entry'!G43</f>
        <v>328149.99970000022</v>
      </c>
    </row>
    <row r="46" spans="1:9" s="8" customFormat="1" hidden="1" x14ac:dyDescent="0.2">
      <c r="B46" s="7" t="s">
        <v>87</v>
      </c>
      <c r="C46" s="8" t="s">
        <v>88</v>
      </c>
      <c r="D46" s="7"/>
      <c r="E46" s="9"/>
      <c r="F46" s="10">
        <f>'Data Entry'!D45</f>
        <v>747867</v>
      </c>
      <c r="G46" s="10">
        <f>'Data Entry'!E45</f>
        <v>765883.01</v>
      </c>
      <c r="H46" s="10">
        <f>'Data Entry'!F45</f>
        <v>794739.50029999972</v>
      </c>
      <c r="I46" s="21">
        <f>'Data Entry'!G45</f>
        <v>942749.50029999972</v>
      </c>
    </row>
    <row r="47" spans="1:9" hidden="1" x14ac:dyDescent="0.2">
      <c r="C47" s="2" t="s">
        <v>89</v>
      </c>
      <c r="F47" s="6">
        <v>-6.4598307166187308E-2</v>
      </c>
      <c r="G47" s="6">
        <v>-6.4483991583835484E-2</v>
      </c>
      <c r="H47" s="6">
        <v>-6.4480083079986095E-2</v>
      </c>
      <c r="I47" s="22">
        <v>-6.4444092577847389E-2</v>
      </c>
    </row>
    <row r="48" spans="1:9" hidden="1" x14ac:dyDescent="0.2">
      <c r="C48" s="2" t="s">
        <v>90</v>
      </c>
      <c r="F48" s="6">
        <v>0</v>
      </c>
      <c r="G48" s="6">
        <v>0</v>
      </c>
      <c r="H48" s="6">
        <v>0</v>
      </c>
      <c r="I48" s="22">
        <v>0</v>
      </c>
    </row>
    <row r="49" spans="1:10" ht="7.5" customHeight="1" x14ac:dyDescent="0.2"/>
    <row r="50" spans="1:10" ht="30.75" customHeight="1" x14ac:dyDescent="0.2">
      <c r="A50" s="23"/>
      <c r="C50" s="24"/>
      <c r="D50" s="25"/>
      <c r="E50" s="26"/>
      <c r="F50" s="25"/>
      <c r="G50" s="25"/>
      <c r="H50" s="25"/>
      <c r="I50" s="25"/>
    </row>
    <row r="51" spans="1:10" x14ac:dyDescent="0.2">
      <c r="C51" s="1"/>
      <c r="D51" s="25"/>
      <c r="E51" s="26"/>
      <c r="F51" s="25"/>
      <c r="G51" s="25"/>
      <c r="H51" s="25"/>
      <c r="I51" s="25"/>
    </row>
    <row r="52" spans="1:10" x14ac:dyDescent="0.2">
      <c r="C52" s="27" t="s">
        <v>91</v>
      </c>
      <c r="D52" s="28" t="s">
        <v>92</v>
      </c>
      <c r="E52" s="29" t="s">
        <v>91</v>
      </c>
      <c r="F52" s="30">
        <f>'Data Entry'!D7</f>
        <v>2006</v>
      </c>
      <c r="G52" s="30">
        <f>'Data Entry'!E7</f>
        <v>2007</v>
      </c>
      <c r="H52" s="30">
        <f>'Data Entry'!F7</f>
        <v>2008</v>
      </c>
      <c r="I52" s="31">
        <f>'Data Entry'!G7</f>
        <v>2009</v>
      </c>
      <c r="J52" s="32">
        <f>I52+1</f>
        <v>2010</v>
      </c>
    </row>
    <row r="53" spans="1:10" x14ac:dyDescent="0.2">
      <c r="C53" s="33" t="s">
        <v>93</v>
      </c>
      <c r="D53" s="34"/>
      <c r="E53" s="35"/>
      <c r="F53" s="36"/>
      <c r="G53" s="36"/>
      <c r="H53" s="36"/>
      <c r="I53" s="37"/>
      <c r="J53" s="32"/>
    </row>
    <row r="54" spans="1:10" x14ac:dyDescent="0.2">
      <c r="C54" s="177" t="s">
        <v>94</v>
      </c>
      <c r="D54" s="178"/>
      <c r="E54" s="179"/>
      <c r="F54" s="180">
        <f>IF(TA=0,"N/A",
WC/TA*6.56+
RE/TA*3.26+
IBIT/TA*6.72+
EQ/TL*1.05)</f>
        <v>3.1671245256262681</v>
      </c>
      <c r="G54" s="180">
        <f>IF(TA=0,"N/A",
WC/TA*6.56+
RE/TA*3.26+
IBIT/TA*6.72+
EQ/TL*1.05)</f>
        <v>3.0617893125608733</v>
      </c>
      <c r="H54" s="180">
        <f>IF(TA=0,"N/A",
WC/TA*6.56+
RE/TA*3.26+
IBIT/TA*6.72+
EQ/TL*1.05)</f>
        <v>3.0747764358313479</v>
      </c>
      <c r="I54" s="181">
        <f>IF(TA=0,"N/A",
WC/TA*6.56+
RE/TA*3.26+
IBIT/TA*6.72+
EQ/TL*1.05)</f>
        <v>3.3052447541852334</v>
      </c>
      <c r="J54" s="38">
        <f>FORECAST(J52,F54:I54,F52:I52)</f>
        <v>3.2590707092877835</v>
      </c>
    </row>
    <row r="55" spans="1:10" x14ac:dyDescent="0.2">
      <c r="C55" s="33" t="s">
        <v>95</v>
      </c>
      <c r="D55" s="34"/>
      <c r="E55" s="35"/>
      <c r="F55" s="36"/>
      <c r="G55" s="36"/>
      <c r="H55" s="36"/>
      <c r="I55" s="37"/>
      <c r="J55" s="32"/>
    </row>
    <row r="56" spans="1:10" x14ac:dyDescent="0.2">
      <c r="C56" s="39" t="s">
        <v>96</v>
      </c>
      <c r="D56" s="40"/>
      <c r="E56" s="41"/>
      <c r="F56" s="42">
        <f>IF(CL=0,"N/A",CA/CL)</f>
        <v>1.2950854700854701</v>
      </c>
      <c r="G56" s="42">
        <f>IF(CL=0,"N/A",CA/CL)</f>
        <v>1.2971226454236162</v>
      </c>
      <c r="H56" s="42">
        <f>IF(CL=0,"N/A",CA/CL)</f>
        <v>1.2968245595378218</v>
      </c>
      <c r="I56" s="43">
        <f>IF(CL=0,"N/A",CA/CL)</f>
        <v>1.2971276513267105</v>
      </c>
      <c r="J56" s="38">
        <f>FORECAST(J52,F56:I56,F52:I52)</f>
        <v>1.2979971960528864</v>
      </c>
    </row>
    <row r="57" spans="1:10" x14ac:dyDescent="0.2">
      <c r="C57" s="44" t="s">
        <v>97</v>
      </c>
      <c r="D57" s="45"/>
      <c r="E57" s="45"/>
      <c r="F57" s="46">
        <f>IF(CL=0,"N/A",QA/CL)</f>
        <v>0.97979449242521366</v>
      </c>
      <c r="G57" s="46">
        <f>IF(CL=0,"N/A",QA/CL)</f>
        <v>0.84246120653887646</v>
      </c>
      <c r="H57" s="46">
        <f>IF(CL=0,"N/A",QA/CL)</f>
        <v>0.84443904667299896</v>
      </c>
      <c r="I57" s="47">
        <f>IF(CL=0,"N/A",QA/CL)</f>
        <v>0.84414964290038308</v>
      </c>
      <c r="J57" s="48">
        <f t="shared" ref="J57:J70" si="0">FORECAST($J$52,F57:I57,$F$52:$I$52)</f>
        <v>0.77647192002427801</v>
      </c>
    </row>
    <row r="58" spans="1:10" x14ac:dyDescent="0.2">
      <c r="C58" s="33" t="s">
        <v>98</v>
      </c>
      <c r="D58" s="34"/>
      <c r="E58" s="35"/>
      <c r="F58" s="49"/>
      <c r="G58" s="49"/>
      <c r="H58" s="49"/>
      <c r="I58" s="50"/>
      <c r="J58" s="32"/>
    </row>
    <row r="59" spans="1:10" x14ac:dyDescent="0.2">
      <c r="C59" s="39" t="s">
        <v>99</v>
      </c>
      <c r="D59" s="40"/>
      <c r="E59" s="41"/>
      <c r="F59" s="42">
        <f>IF(NS=0,"N/A",ARN*DP/NS)</f>
        <v>5.2238805970149258</v>
      </c>
      <c r="G59" s="42">
        <f>IF(NS=0,"N/A",ARN*DP/NS)</f>
        <v>5.4249999999999998</v>
      </c>
      <c r="H59" s="42">
        <f>IF(NS=0,"N/A",ARN*DP/NS)</f>
        <v>5.25</v>
      </c>
      <c r="I59" s="43">
        <f>IF(NS=0,"N/A",ARN*DP/NS)</f>
        <v>4.9569729701480059</v>
      </c>
      <c r="J59" s="48">
        <f t="shared" si="0"/>
        <v>4.9700326716405527</v>
      </c>
    </row>
    <row r="60" spans="1:10" x14ac:dyDescent="0.2">
      <c r="C60" s="44" t="s">
        <v>100</v>
      </c>
      <c r="D60" s="45"/>
      <c r="E60" s="45"/>
      <c r="F60" s="51">
        <f>(COS)/(INV)</f>
        <v>2.3624999999999998</v>
      </c>
      <c r="G60" s="51">
        <f>(COS)/(INV)</f>
        <v>2.3624999999999998</v>
      </c>
      <c r="H60" s="51">
        <f>(COS)/(INV)</f>
        <v>2.3624999999999998</v>
      </c>
      <c r="I60" s="52">
        <f>(COS)/(INV)</f>
        <v>2.5644568588494656</v>
      </c>
      <c r="J60" s="48">
        <f t="shared" si="0"/>
        <v>2.5644568588494678</v>
      </c>
    </row>
    <row r="61" spans="1:10" x14ac:dyDescent="0.2">
      <c r="C61" s="39" t="s">
        <v>101</v>
      </c>
      <c r="D61" s="40"/>
      <c r="E61" s="41"/>
      <c r="F61" s="42">
        <f>IF(COS=0,"N/A",(INV*365)/COS)</f>
        <v>154.49735449735451</v>
      </c>
      <c r="G61" s="42">
        <f>IF(COS=0,"N/A",(INV*365)/COS)</f>
        <v>154.49735449735451</v>
      </c>
      <c r="H61" s="42">
        <f>IF(COS=0,"N/A",(INV*365)/COS)</f>
        <v>154.49735449735451</v>
      </c>
      <c r="I61" s="43">
        <f>IF(COS=0,"N/A",(INV*365)/COS)</f>
        <v>142.3303335130995</v>
      </c>
      <c r="J61" s="48">
        <f t="shared" si="0"/>
        <v>142.3303335130995</v>
      </c>
    </row>
    <row r="62" spans="1:10" x14ac:dyDescent="0.2">
      <c r="C62" s="44" t="s">
        <v>102</v>
      </c>
      <c r="D62" s="45"/>
      <c r="E62" s="45"/>
      <c r="F62" s="46">
        <f>(NS)/(INV)</f>
        <v>5.0250000000000004</v>
      </c>
      <c r="G62" s="46">
        <f>(NS)/(INV)</f>
        <v>5</v>
      </c>
      <c r="H62" s="46">
        <f>(NS)/(INV)</f>
        <v>5</v>
      </c>
      <c r="I62" s="47">
        <f>(NS)/(INV)</f>
        <v>5.4720895521022177</v>
      </c>
      <c r="J62" s="48">
        <f t="shared" si="0"/>
        <v>5.4595895521021589</v>
      </c>
    </row>
    <row r="63" spans="1:10" x14ac:dyDescent="0.2">
      <c r="C63" s="39" t="s">
        <v>103</v>
      </c>
      <c r="D63" s="40"/>
      <c r="E63" s="41"/>
      <c r="F63" s="42">
        <f>IF(COS=0,"N/A",(AP*365)/COS)</f>
        <v>38.624338624338627</v>
      </c>
      <c r="G63" s="42">
        <f>IF(COS=0,"N/A",(AP*365)/COS)</f>
        <v>38.624338624338627</v>
      </c>
      <c r="H63" s="42">
        <f>IF(COS=0,"N/A",(AP*365)/COS)</f>
        <v>38.624338624338627</v>
      </c>
      <c r="I63" s="43">
        <f>IF(COS=0,"N/A",(AP*365)/COS)</f>
        <v>35.582583378274876</v>
      </c>
      <c r="J63" s="48">
        <f t="shared" si="0"/>
        <v>35.582583378274876</v>
      </c>
    </row>
    <row r="64" spans="1:10" x14ac:dyDescent="0.2">
      <c r="C64" s="44" t="s">
        <v>104</v>
      </c>
      <c r="D64" s="45"/>
      <c r="E64" s="45"/>
      <c r="F64" s="46">
        <f>(NS)/(WC)</f>
        <v>6.4050491365614972</v>
      </c>
      <c r="G64" s="46">
        <f>(NS)/(WC)</f>
        <v>7.4583635047067345</v>
      </c>
      <c r="H64" s="46">
        <f>(NS)/(WC)</f>
        <v>7.4072263920404957</v>
      </c>
      <c r="I64" s="47">
        <f>(NS)/(WC)</f>
        <v>8.1147422794086488</v>
      </c>
      <c r="J64" s="48">
        <f t="shared" si="0"/>
        <v>8.6158309071481654</v>
      </c>
    </row>
    <row r="65" spans="3:10" x14ac:dyDescent="0.2">
      <c r="C65" s="39" t="s">
        <v>105</v>
      </c>
      <c r="D65" s="40"/>
      <c r="E65" s="41"/>
      <c r="F65" s="42">
        <f>(TA)/(NS)</f>
        <v>1.6254726368159205</v>
      </c>
      <c r="G65" s="42">
        <f>(TA)/(NS)</f>
        <v>1.6341893203883495</v>
      </c>
      <c r="H65" s="42">
        <f>(TA)/(NS)</f>
        <v>1.6336963427278726</v>
      </c>
      <c r="I65" s="43">
        <f>(TA)/(NS)</f>
        <v>1.4925696993895812</v>
      </c>
      <c r="J65" s="48">
        <f t="shared" si="0"/>
        <v>1.4966815523455637</v>
      </c>
    </row>
    <row r="66" spans="3:10" x14ac:dyDescent="0.2">
      <c r="C66" s="44" t="s">
        <v>106</v>
      </c>
      <c r="D66" s="45"/>
      <c r="E66" s="45"/>
      <c r="F66" s="46">
        <f>(NS)/(ARN)</f>
        <v>5.7428571428571429</v>
      </c>
      <c r="G66" s="46">
        <f>(NS)/(ARN)</f>
        <v>5.7142857142857144</v>
      </c>
      <c r="H66" s="46">
        <f>(NS)/(ARN)</f>
        <v>5.7142857142857144</v>
      </c>
      <c r="I66" s="47">
        <f>(NS)/(ARN)</f>
        <v>6.2538166309739625</v>
      </c>
      <c r="J66" s="48">
        <f t="shared" si="0"/>
        <v>6.2395309166882384</v>
      </c>
    </row>
    <row r="67" spans="3:10" x14ac:dyDescent="0.2">
      <c r="C67" s="39" t="s">
        <v>107</v>
      </c>
      <c r="D67" s="40"/>
      <c r="E67" s="41"/>
      <c r="F67" s="42">
        <f>(NS)/(FA)</f>
        <v>0.97810218978102192</v>
      </c>
      <c r="G67" s="42">
        <f>(NS)/(FA)</f>
        <v>0.97358098208800037</v>
      </c>
      <c r="H67" s="42">
        <f>(NS)/(FA)</f>
        <v>0.9739161407620488</v>
      </c>
      <c r="I67" s="43">
        <f>(NS)/(FA)</f>
        <v>1.0662276294528303</v>
      </c>
      <c r="J67" s="48">
        <f t="shared" si="0"/>
        <v>1.0641346049433409</v>
      </c>
    </row>
    <row r="68" spans="3:10" x14ac:dyDescent="0.2">
      <c r="C68" s="44" t="s">
        <v>108</v>
      </c>
      <c r="D68" s="45"/>
      <c r="E68" s="45"/>
      <c r="F68" s="46">
        <f>(NS)/(TA)</f>
        <v>0.61520568070519099</v>
      </c>
      <c r="G68" s="46">
        <f>(NS)/(TA)</f>
        <v>0.61192420457279673</v>
      </c>
      <c r="H68" s="46">
        <f>(NS)/(TA)</f>
        <v>0.61210885636815782</v>
      </c>
      <c r="I68" s="47">
        <f>(NS)/(TA)</f>
        <v>0.66998546225946543</v>
      </c>
      <c r="J68" s="48">
        <f t="shared" si="0"/>
        <v>0.66843705009094379</v>
      </c>
    </row>
    <row r="69" spans="3:10" x14ac:dyDescent="0.2">
      <c r="C69" s="39" t="s">
        <v>109</v>
      </c>
      <c r="D69" s="40"/>
      <c r="E69" s="41"/>
      <c r="F69" s="42">
        <f>(NS)/(NW)</f>
        <v>1.1598467026239192</v>
      </c>
      <c r="G69" s="42">
        <f>(NS)/(NW)</f>
        <v>1.3281753707285622</v>
      </c>
      <c r="H69" s="42">
        <f>(NS)/(NW)</f>
        <v>1.3306992787707745</v>
      </c>
      <c r="I69" s="43">
        <f>(NS)/(NW)</f>
        <v>1.4590333888548466</v>
      </c>
      <c r="J69" s="48">
        <f t="shared" si="0"/>
        <v>1.5444596769282839</v>
      </c>
    </row>
    <row r="70" spans="3:10" x14ac:dyDescent="0.2">
      <c r="C70" s="44" t="s">
        <v>110</v>
      </c>
      <c r="D70" s="45"/>
      <c r="E70" s="45"/>
      <c r="F70" s="46">
        <f>IF(NS=0,"N/A",ADE/NS)</f>
        <v>4.9751243781094524E-4</v>
      </c>
      <c r="G70" s="46">
        <f>IF(NS=0,"N/A",ADE/NS)</f>
        <v>5.0000000000000001E-4</v>
      </c>
      <c r="H70" s="46">
        <f>IF(NS=0,"N/A",ADE/NS)</f>
        <v>5.0000000000000001E-4</v>
      </c>
      <c r="I70" s="47">
        <f>IF(NS=0,"N/A",ADE/NS)</f>
        <v>4.4355715360816126E-4</v>
      </c>
      <c r="J70" s="48">
        <f t="shared" si="0"/>
        <v>4.4480093470268545E-4</v>
      </c>
    </row>
    <row r="71" spans="3:10" x14ac:dyDescent="0.2">
      <c r="C71" s="33" t="s">
        <v>111</v>
      </c>
      <c r="D71" s="34"/>
      <c r="E71" s="35"/>
      <c r="F71" s="36"/>
      <c r="G71" s="36"/>
      <c r="H71" s="36"/>
      <c r="I71" s="37"/>
      <c r="J71" s="32"/>
    </row>
    <row r="72" spans="3:10" x14ac:dyDescent="0.2">
      <c r="C72" s="39" t="s">
        <v>112</v>
      </c>
      <c r="D72" s="40"/>
      <c r="E72" s="41"/>
      <c r="F72" s="53">
        <f>IF(NS=0,"N/A",(NS-COS)/NS)</f>
        <v>0.52985074626865669</v>
      </c>
      <c r="G72" s="53">
        <f>IF(NS=0,"N/A",(NS-COS)/NS)</f>
        <v>0.52749999999999997</v>
      </c>
      <c r="H72" s="53">
        <f>IF(NS=0,"N/A",(NS-COS)/NS)</f>
        <v>0.52749999999999997</v>
      </c>
      <c r="I72" s="54">
        <f>IF(NS=0,"N/A",(NS-COS)/NS)</f>
        <v>0.53135692783677568</v>
      </c>
      <c r="J72" s="55">
        <f t="shared" ref="J72:J79" si="1">FORECAST($J$52,F72:I72,$F$52:$I$52)</f>
        <v>0.53018155470244732</v>
      </c>
    </row>
    <row r="73" spans="3:10" x14ac:dyDescent="0.2">
      <c r="C73" s="44" t="s">
        <v>113</v>
      </c>
      <c r="D73" s="45"/>
      <c r="E73" s="45"/>
      <c r="F73" s="56">
        <f>IF(NS=0,"N/A",OE/NS)</f>
        <v>0.15777761194029852</v>
      </c>
      <c r="G73" s="56">
        <f>IF(NS=0,"N/A",OE/NS)</f>
        <v>0.15571213106796117</v>
      </c>
      <c r="H73" s="56">
        <f>IF(NS=0,"N/A",OE/NS)</f>
        <v>0.15294089909510802</v>
      </c>
      <c r="I73" s="57">
        <f>IF(NS=0,"N/A",OE/NS)</f>
        <v>0.13719792612258558</v>
      </c>
      <c r="J73" s="55">
        <f t="shared" si="1"/>
        <v>0.13477956969999028</v>
      </c>
    </row>
    <row r="74" spans="3:10" x14ac:dyDescent="0.2">
      <c r="C74" s="39" t="s">
        <v>114</v>
      </c>
      <c r="D74" s="40"/>
      <c r="E74" s="41"/>
      <c r="F74" s="53">
        <f>(NI)/(TA)</f>
        <v>0.18840413809990206</v>
      </c>
      <c r="G74" s="53">
        <f>(NI)/(TA)</f>
        <v>0.18817460039270087</v>
      </c>
      <c r="H74" s="53">
        <f>(NI)/(TA)</f>
        <v>0.19012846485331694</v>
      </c>
      <c r="I74" s="54">
        <f>(NI)/(TA)</f>
        <v>0.2236312559548343</v>
      </c>
      <c r="J74" s="55">
        <f t="shared" si="1"/>
        <v>0.22449341933154088</v>
      </c>
    </row>
    <row r="75" spans="3:10" x14ac:dyDescent="0.2">
      <c r="C75" s="44" t="s">
        <v>115</v>
      </c>
      <c r="D75" s="45"/>
      <c r="E75" s="45"/>
      <c r="F75" s="56">
        <f>(NI)/(NW)</f>
        <v>0.35519814785421094</v>
      </c>
      <c r="G75" s="56">
        <f>(NI)/(NW)</f>
        <v>0.40843108961960023</v>
      </c>
      <c r="H75" s="56">
        <f>(NI)/(NW)</f>
        <v>0.41333140081530245</v>
      </c>
      <c r="I75" s="57">
        <f>(NI)/(NW)</f>
        <v>0.48700380472328342</v>
      </c>
      <c r="J75" s="55">
        <f t="shared" si="1"/>
        <v>0.51607043120382912</v>
      </c>
    </row>
    <row r="76" spans="3:10" x14ac:dyDescent="0.2">
      <c r="C76" s="39" t="s">
        <v>116</v>
      </c>
      <c r="D76" s="40"/>
      <c r="E76" s="41"/>
      <c r="F76" s="53">
        <f>IF(NS=0,"N/A",NI/NS)</f>
        <v>0.30624577114427859</v>
      </c>
      <c r="G76" s="53">
        <f>IF(NS=0,"N/A",NI/NS)</f>
        <v>0.30751292233009708</v>
      </c>
      <c r="H76" s="53">
        <f>IF(NS=0,"N/A",NI/NS)</f>
        <v>0.31061217767932875</v>
      </c>
      <c r="I76" s="54">
        <f>IF(NS=0,"N/A",NI/NS)</f>
        <v>0.33378523647462149</v>
      </c>
      <c r="J76" s="55">
        <f t="shared" si="1"/>
        <v>0.33596843974214607</v>
      </c>
    </row>
    <row r="77" spans="3:10" x14ac:dyDescent="0.2">
      <c r="C77" s="44" t="s">
        <v>117</v>
      </c>
      <c r="D77" s="45"/>
      <c r="E77" s="45"/>
      <c r="F77" s="58">
        <f>(IBT)/(NW)</f>
        <v>0.4409246680939708</v>
      </c>
      <c r="G77" s="58">
        <f>(IBT)/(NW)</f>
        <v>0.50459091553836233</v>
      </c>
      <c r="H77" s="58">
        <f>(IBT)/(NW)</f>
        <v>0.50923745707118206</v>
      </c>
      <c r="I77" s="59">
        <f>(IBT)/(NW)</f>
        <v>0.58620995995557856</v>
      </c>
      <c r="J77" s="55">
        <f t="shared" si="1"/>
        <v>0.62036635444418664</v>
      </c>
    </row>
    <row r="78" spans="3:10" x14ac:dyDescent="0.2">
      <c r="C78" s="39" t="s">
        <v>118</v>
      </c>
      <c r="D78" s="40"/>
      <c r="E78" s="41"/>
      <c r="F78" s="60">
        <f>(IBT)/(TA)</f>
        <v>0.23387518364348678</v>
      </c>
      <c r="G78" s="60">
        <f>(IBT)/(TA)</f>
        <v>0.23247788012820703</v>
      </c>
      <c r="H78" s="60">
        <f>(IBT)/(TA)</f>
        <v>0.23424432735517012</v>
      </c>
      <c r="I78" s="61">
        <f>(IBT)/(TA)</f>
        <v>0.26918654089897209</v>
      </c>
      <c r="J78" s="55">
        <f t="shared" si="1"/>
        <v>0.26937111275481485</v>
      </c>
    </row>
    <row r="79" spans="3:10" x14ac:dyDescent="0.2">
      <c r="C79" s="44" t="s">
        <v>119</v>
      </c>
      <c r="D79" s="45"/>
      <c r="E79" s="45"/>
      <c r="F79" s="58">
        <f>((F26))/(NI)</f>
        <v>8.1227642091514313E-2</v>
      </c>
      <c r="G79" s="58">
        <f>((G26))/(NI)</f>
        <v>8.129739657952964E-2</v>
      </c>
      <c r="H79" s="58">
        <f>((H26))/(NI)</f>
        <v>8.0486219783081445E-2</v>
      </c>
      <c r="I79" s="59">
        <f>((I26))/(NI)</f>
        <v>6.8436799818008501E-2</v>
      </c>
      <c r="J79" s="55">
        <f t="shared" si="1"/>
        <v>6.8066088663791824E-2</v>
      </c>
    </row>
    <row r="80" spans="3:10" x14ac:dyDescent="0.2">
      <c r="C80" s="33" t="s">
        <v>120</v>
      </c>
      <c r="D80" s="34"/>
      <c r="E80" s="35"/>
      <c r="F80" s="36"/>
      <c r="G80" s="36"/>
      <c r="H80" s="36"/>
      <c r="I80" s="37"/>
      <c r="J80" s="32"/>
    </row>
    <row r="81" spans="3:10" x14ac:dyDescent="0.2">
      <c r="C81" s="39" t="s">
        <v>121</v>
      </c>
      <c r="D81" s="40"/>
      <c r="E81" s="41"/>
      <c r="F81" s="42">
        <f>IF(INT=0,"N/A",IBIT/INT)</f>
        <v>124.64449999999999</v>
      </c>
      <c r="G81" s="42">
        <f>IF(INT=0,"N/A",IBIT/INT)</f>
        <v>127.64716833333334</v>
      </c>
      <c r="H81" s="42">
        <f>IF(INT=0,"N/A",IBIT/INT)</f>
        <v>132.45658338333328</v>
      </c>
      <c r="I81" s="43">
        <f>IF(INT=0,"N/A",IBIT/INT)</f>
        <v>157.12491671666663</v>
      </c>
      <c r="J81" s="48">
        <f t="shared" ref="J81:J87" si="2">FORECAST($J$52,F81:I81,$F$52:$I$52)</f>
        <v>161.03095840833339</v>
      </c>
    </row>
    <row r="82" spans="3:10" x14ac:dyDescent="0.2">
      <c r="C82" s="44" t="s">
        <v>122</v>
      </c>
      <c r="D82" s="45"/>
      <c r="E82" s="45"/>
      <c r="F82" s="46">
        <f>IF(NS=0,"N/A",INT/NS)</f>
        <v>2.9850746268656717E-3</v>
      </c>
      <c r="G82" s="46">
        <f>IF(NS=0,"N/A",INT/NS)</f>
        <v>2.9126213592233011E-3</v>
      </c>
      <c r="H82" s="46">
        <f>IF(NS=0,"N/A",INT/NS)</f>
        <v>2.8277877274012629E-3</v>
      </c>
      <c r="I82" s="47">
        <f>IF(NS=0,"N/A",INT/NS)</f>
        <v>2.5085709507483905E-3</v>
      </c>
      <c r="J82" s="48">
        <f t="shared" si="2"/>
        <v>2.4299275010162269E-3</v>
      </c>
    </row>
    <row r="83" spans="3:10" x14ac:dyDescent="0.2">
      <c r="C83" s="39" t="s">
        <v>123</v>
      </c>
      <c r="D83" s="40"/>
      <c r="E83" s="41"/>
      <c r="F83" s="42">
        <f>IF(NW=0,"N/A",CL/NW)</f>
        <v>0.54010771823681014</v>
      </c>
      <c r="G83" s="42">
        <f>IF(NW=0,"N/A",CL/NW)</f>
        <v>0.62158607350096717</v>
      </c>
      <c r="H83" s="42">
        <f>IF(NW=0,"N/A",CL/NW)</f>
        <v>0.62276726246472247</v>
      </c>
      <c r="I83" s="43">
        <f>IF(NW=0,"N/A",CL/NW)</f>
        <v>0.62391854106421341</v>
      </c>
      <c r="J83" s="48">
        <f t="shared" si="2"/>
        <v>0.6652483131781679</v>
      </c>
    </row>
    <row r="84" spans="3:10" x14ac:dyDescent="0.2">
      <c r="C84" s="44" t="s">
        <v>124</v>
      </c>
      <c r="D84" s="45"/>
      <c r="E84" s="45"/>
      <c r="F84" s="46">
        <f>IF(INV=0,"N/A",CL/INV)</f>
        <v>2.34</v>
      </c>
      <c r="G84" s="46">
        <f>IF(INV=0,"N/A",CL/INV)</f>
        <v>2.34</v>
      </c>
      <c r="H84" s="46">
        <f>IF(INV=0,"N/A",CL/INV)</f>
        <v>2.34</v>
      </c>
      <c r="I84" s="47">
        <f>IF(INV=0,"N/A",CL/INV)</f>
        <v>2.34</v>
      </c>
      <c r="J84" s="48">
        <f t="shared" si="2"/>
        <v>2.34</v>
      </c>
    </row>
    <row r="85" spans="3:10" x14ac:dyDescent="0.2">
      <c r="C85" s="39" t="s">
        <v>125</v>
      </c>
      <c r="D85" s="40"/>
      <c r="E85" s="41"/>
      <c r="F85" s="42">
        <f>(AP)/(NS)</f>
        <v>4.975124378109453E-2</v>
      </c>
      <c r="G85" s="42">
        <f>(AP)/(NS)</f>
        <v>0.05</v>
      </c>
      <c r="H85" s="42">
        <f>(AP)/(NS)</f>
        <v>0.05</v>
      </c>
      <c r="I85" s="43">
        <f>(AP)/(NS)</f>
        <v>4.5686386821640605E-2</v>
      </c>
      <c r="J85" s="48">
        <f t="shared" si="2"/>
        <v>4.581076493109304E-2</v>
      </c>
    </row>
    <row r="86" spans="3:10" x14ac:dyDescent="0.2">
      <c r="C86" s="44" t="s">
        <v>126</v>
      </c>
      <c r="D86" s="45"/>
      <c r="E86" s="45"/>
      <c r="F86" s="46">
        <f>IF(NW=0,"N/A",TL/NW)</f>
        <v>0.99031289106625386</v>
      </c>
      <c r="G86" s="46">
        <f>IF(NW=0,"N/A",TL/NW)</f>
        <v>1.1424435847840104</v>
      </c>
      <c r="H86" s="46">
        <f>IF(NW=0,"N/A",TL/NW)</f>
        <v>1.1458591407964878</v>
      </c>
      <c r="I86" s="47">
        <f>IF(NW=0,"N/A",TL/NW)</f>
        <v>1.1495572494310848</v>
      </c>
      <c r="J86" s="48">
        <f t="shared" si="2"/>
        <v>1.2273303742961872</v>
      </c>
    </row>
    <row r="87" spans="3:10" x14ac:dyDescent="0.2">
      <c r="C87" s="62" t="s">
        <v>127</v>
      </c>
      <c r="D87" s="63"/>
      <c r="E87" s="64"/>
      <c r="F87" s="65">
        <f>IF(TL=0,"N/A",NW/TL)</f>
        <v>1.0097818669444121</v>
      </c>
      <c r="G87" s="65">
        <f>IF(TL=0,"N/A",NW/TL)</f>
        <v>0.87531674501814405</v>
      </c>
      <c r="H87" s="65">
        <f>IF(TL=0,"N/A",NW/TL)</f>
        <v>0.8727076168410185</v>
      </c>
      <c r="I87" s="66">
        <f>IF(TL=0,"N/A",NW/TL)</f>
        <v>0.86990012937145966</v>
      </c>
      <c r="J87" s="48">
        <f t="shared" si="2"/>
        <v>0.80136300431976792</v>
      </c>
    </row>
    <row r="88" spans="3:10" x14ac:dyDescent="0.2">
      <c r="J88" s="32"/>
    </row>
    <row r="89" spans="3:10" x14ac:dyDescent="0.2">
      <c r="J89" s="32"/>
    </row>
    <row r="90" spans="3:10" ht="12.75" x14ac:dyDescent="0.2">
      <c r="C90" s="162"/>
      <c r="D90" s="162"/>
      <c r="E90" s="162"/>
      <c r="F90" s="162"/>
      <c r="G90" s="162"/>
      <c r="H90" s="162"/>
      <c r="I90" s="162"/>
      <c r="J90" s="32"/>
    </row>
  </sheetData>
  <phoneticPr fontId="0" type="halfwidthKatakana" alignment="noControl"/>
  <printOptions horizontalCentered="1"/>
  <pageMargins left="0.23622047244094499" right="0.23622047244094499" top="0.74803149606299202" bottom="0.74803149606299202" header="0.23622047244094499" footer="0.511811023622047"/>
  <pageSetup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99A1EF46-351E-4F52-912D-1FDE70AE1B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53</vt:i4>
      </vt:variant>
    </vt:vector>
  </HeadingPairs>
  <TitlesOfParts>
    <vt:vector size="55" baseType="lpstr">
      <vt:lpstr>Data Entry</vt:lpstr>
      <vt:lpstr>Comprehensive Ratio Analysis</vt:lpstr>
      <vt:lpstr>'Comprehensive Ratio Analysis'!ABD</vt:lpstr>
      <vt:lpstr>'Comprehensive Ratio Analysis'!ADE</vt:lpstr>
      <vt:lpstr>'Comprehensive Ratio Analysis'!AP</vt:lpstr>
      <vt:lpstr>'Comprehensive Ratio Analysis'!AR</vt:lpstr>
      <vt:lpstr>'Comprehensive Ratio Analysis'!ARN</vt:lpstr>
      <vt:lpstr>'Comprehensive Ratio Analysis'!BDE</vt:lpstr>
      <vt:lpstr>'Comprehensive Ratio Analysis'!CA</vt:lpstr>
      <vt:lpstr>'Comprehensive Ratio Analysis'!CL</vt:lpstr>
      <vt:lpstr>'Comprehensive Ratio Analysis'!COS</vt:lpstr>
      <vt:lpstr>'Comprehensive Ratio Analysis'!Data.Store</vt:lpstr>
      <vt:lpstr>'Comprehensive Ratio Analysis'!DP</vt:lpstr>
      <vt:lpstr>'Comprehensive Ratio Analysis'!DY</vt:lpstr>
      <vt:lpstr>'Comprehensive Ratio Analysis'!ED</vt:lpstr>
      <vt:lpstr>'Comprehensive Ratio Analysis'!EQ</vt:lpstr>
      <vt:lpstr>'Comprehensive Ratio Analysis'!FA</vt:lpstr>
      <vt:lpstr>'Comprehensive Ratio Analysis'!Formulas.Rows</vt:lpstr>
      <vt:lpstr>'Comprehensive Ratio Analysis'!FormulasLeftOfTopLeft</vt:lpstr>
      <vt:lpstr>'Comprehensive Ratio Analysis'!FSIC</vt:lpstr>
      <vt:lpstr>'Comprehensive Ratio Analysis'!FY</vt:lpstr>
      <vt:lpstr>'Comprehensive Ratio Analysis'!GL.Account.Number</vt:lpstr>
      <vt:lpstr>'Comprehensive Ratio Analysis'!IBIT</vt:lpstr>
      <vt:lpstr>'Comprehensive Ratio Analysis'!IBT</vt:lpstr>
      <vt:lpstr>'Comprehensive Ratio Analysis'!INT</vt:lpstr>
      <vt:lpstr>'Comprehensive Ratio Analysis'!INV</vt:lpstr>
      <vt:lpstr>'Comprehensive Ratio Analysis'!Lock.Values</vt:lpstr>
      <vt:lpstr>'Comprehensive Ratio Analysis'!LTD</vt:lpstr>
      <vt:lpstr>'Comprehensive Ratio Analysis'!Next.Up</vt:lpstr>
      <vt:lpstr>'Comprehensive Ratio Analysis'!NI</vt:lpstr>
      <vt:lpstr>'Comprehensive Ratio Analysis'!NS</vt:lpstr>
      <vt:lpstr>'Comprehensive Ratio Analysis'!NW</vt:lpstr>
      <vt:lpstr>'Comprehensive Ratio Analysis'!OCA</vt:lpstr>
      <vt:lpstr>'Comprehensive Ratio Analysis'!OCL</vt:lpstr>
      <vt:lpstr>'Comprehensive Ratio Analysis'!OE</vt:lpstr>
      <vt:lpstr>'Comprehensive Ratio Analysis'!ONCA</vt:lpstr>
      <vt:lpstr>'Comprehensive Ratio Analysis'!ONCL</vt:lpstr>
      <vt:lpstr>'Comprehensive Ratio Analysis'!ONOE</vt:lpstr>
      <vt:lpstr>'Comprehensive Ratio Analysis'!ONOI</vt:lpstr>
      <vt:lpstr>'Comprehensive Ratio Analysis'!PI</vt:lpstr>
      <vt:lpstr>'Comprehensive Ratio Analysis'!PIRow</vt:lpstr>
      <vt:lpstr>'Comprehensive Ratio Analysis'!PN</vt:lpstr>
      <vt:lpstr>'Comprehensive Ratio Analysis'!Print_Area</vt:lpstr>
      <vt:lpstr>'Data Entry'!Print_Area</vt:lpstr>
      <vt:lpstr>'Comprehensive Ratio Analysis'!Print_Titles</vt:lpstr>
      <vt:lpstr>'Comprehensive Ratio Analysis'!QA</vt:lpstr>
      <vt:lpstr>'Comprehensive Ratio Analysis'!QA.Top.Left</vt:lpstr>
      <vt:lpstr>'Comprehensive Ratio Analysis'!RE</vt:lpstr>
      <vt:lpstr>'Comprehensive Ratio Analysis'!ReportLeft</vt:lpstr>
      <vt:lpstr>Sales</vt:lpstr>
      <vt:lpstr>'Comprehensive Ratio Analysis'!STD</vt:lpstr>
      <vt:lpstr>'Comprehensive Ratio Analysis'!TA</vt:lpstr>
      <vt:lpstr>'Comprehensive Ratio Analysis'!TL</vt:lpstr>
      <vt:lpstr>'Comprehensive Ratio Analysis'!Values.Rows</vt:lpstr>
      <vt:lpstr>'Comprehensive Ratio Analysis'!WC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2014-10-25T20:54:34Z</dcterms:created>
  <dcterms:modified xsi:type="dcterms:W3CDTF">2014-10-25T20:54:34Z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TC018773499991</vt:lpwstr>
  </property>
</Properties>
</file>