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nan Çılman\Desktop\İTÜSEM\Finansal Excel Dökumanları\Şablonlar\"/>
    </mc:Choice>
  </mc:AlternateContent>
  <bookViews>
    <workbookView xWindow="120" yWindow="30" windowWidth="15600" windowHeight="8640"/>
  </bookViews>
  <sheets>
    <sheet name="Billing Rate" sheetId="6" r:id="rId1"/>
    <sheet name="Billable Days" sheetId="4" r:id="rId2"/>
    <sheet name="Business Expense" sheetId="5" r:id="rId3"/>
    <sheet name="SE Tax" sheetId="2" r:id="rId4"/>
    <sheet name="Five Year Pro Forma" sheetId="7" r:id="rId5"/>
  </sheets>
  <definedNames>
    <definedName name="Admin_Days_per_Year">'Billable Days'!$D$20</definedName>
    <definedName name="Available_Billable_Days">'Billable Days'!$D$23</definedName>
    <definedName name="Available_Work_Days">'Billable Days'!$D$16</definedName>
    <definedName name="Available_Work_Weeks">'Billable Days'!$E$16</definedName>
    <definedName name="Business_Overhead_Days_per_Year">'Billable Days'!$D$21</definedName>
    <definedName name="Business_Reserve">'Five Year Pro Forma'!$B$20</definedName>
    <definedName name="Est._Billable_Days">'Billable Days'!$D$26</definedName>
    <definedName name="Est._Down_Time_Percentage">'Billable Days'!$B$25</definedName>
    <definedName name="Estimated_Income_Tax">'Five Year Pro Forma'!$B$17</definedName>
    <definedName name="Inflation_Rate_Adjustement">'Five Year Pro Forma'!$B$2</definedName>
    <definedName name="Marketing_Days_per_Year">'Billable Days'!$D$19</definedName>
    <definedName name="Net_Earning_Factor">'SE Tax'!$B$16</definedName>
    <definedName name="SEP_401K_Percentage">'Business Expense'!$B$8</definedName>
    <definedName name="Std_Workday_Hours">'Billable Days'!$B$5</definedName>
    <definedName name="Std_Workweek_Days">'Billable Days'!$B$6</definedName>
  </definedNames>
  <calcPr calcId="152511"/>
</workbook>
</file>

<file path=xl/calcChain.xml><?xml version="1.0" encoding="utf-8"?>
<calcChain xmlns="http://schemas.openxmlformats.org/spreadsheetml/2006/main">
  <c r="B14" i="5" l="1"/>
  <c r="B21" i="4"/>
  <c r="E11" i="4"/>
  <c r="E7" i="4"/>
  <c r="C12" i="4"/>
  <c r="C11" i="4"/>
  <c r="C8" i="4"/>
  <c r="C7" i="4"/>
  <c r="F9" i="6"/>
  <c r="E9" i="6"/>
  <c r="B20" i="2"/>
  <c r="F35" i="5"/>
  <c r="E35" i="5"/>
  <c r="D35" i="5"/>
  <c r="C12" i="7" s="1"/>
  <c r="D12" i="7" s="1"/>
  <c r="E12" i="7" s="1"/>
  <c r="F12" i="7" s="1"/>
  <c r="G12" i="7" s="1"/>
  <c r="D37" i="5"/>
  <c r="C11" i="7" s="1"/>
  <c r="D11" i="7" s="1"/>
  <c r="E11" i="7" s="1"/>
  <c r="F11" i="7" s="1"/>
  <c r="G11" i="7" s="1"/>
  <c r="D29" i="5"/>
  <c r="F29" i="5" s="1"/>
  <c r="I15" i="6"/>
  <c r="I16" i="6" s="1"/>
  <c r="I17" i="6" s="1"/>
  <c r="H14" i="6"/>
  <c r="H15" i="6" s="1"/>
  <c r="H16" i="6" s="1"/>
  <c r="H17" i="6" s="1"/>
  <c r="I13" i="6"/>
  <c r="E39" i="5"/>
  <c r="D23" i="5"/>
  <c r="F23" i="5" s="1"/>
  <c r="D21" i="5"/>
  <c r="F21" i="5" s="1"/>
  <c r="D18" i="5"/>
  <c r="E18" i="5" s="1"/>
  <c r="D17" i="5"/>
  <c r="F17" i="5" s="1"/>
  <c r="D16" i="5"/>
  <c r="E16" i="5" s="1"/>
  <c r="D40" i="5"/>
  <c r="E40" i="5" s="1"/>
  <c r="D39" i="5"/>
  <c r="F39" i="5" s="1"/>
  <c r="B41" i="5"/>
  <c r="B19" i="5"/>
  <c r="B31" i="5"/>
  <c r="D30" i="5"/>
  <c r="F30" i="5" s="1"/>
  <c r="D28" i="5"/>
  <c r="F28" i="5" s="1"/>
  <c r="D27" i="5"/>
  <c r="F27" i="5" s="1"/>
  <c r="D26" i="5"/>
  <c r="F8" i="5"/>
  <c r="E8" i="5"/>
  <c r="D8" i="5"/>
  <c r="D4" i="5"/>
  <c r="F4" i="5" s="1"/>
  <c r="D13" i="4"/>
  <c r="E13" i="4" s="1"/>
  <c r="D9" i="4"/>
  <c r="E9" i="4" s="1"/>
  <c r="E37" i="5" l="1"/>
  <c r="E4" i="5"/>
  <c r="E9" i="5" s="1"/>
  <c r="D31" i="5"/>
  <c r="E17" i="5"/>
  <c r="E29" i="5"/>
  <c r="E14" i="5"/>
  <c r="B33" i="5"/>
  <c r="E41" i="5"/>
  <c r="D9" i="5"/>
  <c r="D6" i="2" s="1"/>
  <c r="D6" i="6" s="1"/>
  <c r="D41" i="5"/>
  <c r="D19" i="5"/>
  <c r="F16" i="5"/>
  <c r="F18" i="5"/>
  <c r="E23" i="5"/>
  <c r="F40" i="5"/>
  <c r="F41" i="5" s="1"/>
  <c r="F37" i="5"/>
  <c r="E21" i="5"/>
  <c r="D14" i="5"/>
  <c r="F14" i="5"/>
  <c r="C9" i="4"/>
  <c r="D16" i="4"/>
  <c r="E16" i="4" s="1"/>
  <c r="C13" i="4"/>
  <c r="D5" i="6"/>
  <c r="D7" i="6" s="1"/>
  <c r="E26" i="5"/>
  <c r="E27" i="5"/>
  <c r="E28" i="5"/>
  <c r="E30" i="5"/>
  <c r="F9" i="5"/>
  <c r="F26" i="5"/>
  <c r="F31" i="5" s="1"/>
  <c r="D11" i="2" l="1"/>
  <c r="B15" i="2"/>
  <c r="B17" i="2" s="1"/>
  <c r="B19" i="2" s="1"/>
  <c r="B21" i="2" s="1"/>
  <c r="B22" i="2" s="1"/>
  <c r="D45" i="5"/>
  <c r="D10" i="6" s="1"/>
  <c r="D33" i="5"/>
  <c r="E19" i="5"/>
  <c r="F19" i="5"/>
  <c r="F33" i="5" s="1"/>
  <c r="C16" i="4"/>
  <c r="D19" i="4"/>
  <c r="D20" i="4"/>
  <c r="C20" i="4" s="1"/>
  <c r="C8" i="7"/>
  <c r="D8" i="7" s="1"/>
  <c r="E8" i="7" s="1"/>
  <c r="F8" i="7" s="1"/>
  <c r="G8" i="7" s="1"/>
  <c r="E5" i="6"/>
  <c r="E6" i="2"/>
  <c r="E6" i="6" s="1"/>
  <c r="C9" i="7" s="1"/>
  <c r="F6" i="2"/>
  <c r="F6" i="6" s="1"/>
  <c r="F5" i="6"/>
  <c r="E31" i="5"/>
  <c r="E45" i="5" s="1"/>
  <c r="E10" i="6" s="1"/>
  <c r="F45" i="5" l="1"/>
  <c r="F10" i="6" s="1"/>
  <c r="G20" i="4"/>
  <c r="E33" i="5"/>
  <c r="C10" i="7" s="1"/>
  <c r="D10" i="7" s="1"/>
  <c r="E10" i="7" s="1"/>
  <c r="F10" i="7" s="1"/>
  <c r="G10" i="7" s="1"/>
  <c r="E21" i="4"/>
  <c r="C19" i="4"/>
  <c r="E19" i="4"/>
  <c r="E20" i="4"/>
  <c r="D21" i="4"/>
  <c r="D23" i="4" s="1"/>
  <c r="C23" i="4" s="1"/>
  <c r="F7" i="6"/>
  <c r="D9" i="7"/>
  <c r="C13" i="7"/>
  <c r="E7" i="6"/>
  <c r="C21" i="4" l="1"/>
  <c r="G19" i="4"/>
  <c r="B20" i="6"/>
  <c r="E23" i="4"/>
  <c r="D25" i="4"/>
  <c r="E9" i="7"/>
  <c r="D13" i="7"/>
  <c r="D26" i="4" l="1"/>
  <c r="C26" i="4" s="1"/>
  <c r="E25" i="4"/>
  <c r="C25" i="4"/>
  <c r="E26" i="4"/>
  <c r="E14" i="6"/>
  <c r="D14" i="6"/>
  <c r="F14" i="6"/>
  <c r="F9" i="7"/>
  <c r="E13" i="7"/>
  <c r="H20" i="4" l="1"/>
  <c r="H19" i="4"/>
  <c r="F20" i="6"/>
  <c r="F16" i="6"/>
  <c r="F17" i="6" s="1"/>
  <c r="F15" i="6"/>
  <c r="F13" i="6"/>
  <c r="D13" i="6"/>
  <c r="D20" i="6"/>
  <c r="D16" i="6"/>
  <c r="D17" i="6" s="1"/>
  <c r="D15" i="6"/>
  <c r="E15" i="6"/>
  <c r="C3" i="7"/>
  <c r="D3" i="7" s="1"/>
  <c r="E3" i="7" s="1"/>
  <c r="F3" i="7" s="1"/>
  <c r="G3" i="7" s="1"/>
  <c r="E16" i="6"/>
  <c r="E17" i="6" s="1"/>
  <c r="C4" i="7" s="1"/>
  <c r="E20" i="6"/>
  <c r="E13" i="6"/>
  <c r="G9" i="7"/>
  <c r="G13" i="7" s="1"/>
  <c r="F13" i="7"/>
  <c r="D4" i="7" l="1"/>
  <c r="C16" i="7"/>
  <c r="C17" i="7" s="1"/>
  <c r="C18" i="7" s="1"/>
  <c r="C20" i="7" s="1"/>
  <c r="C22" i="7" s="1"/>
  <c r="E4" i="7" l="1"/>
  <c r="D16" i="7"/>
  <c r="D17" i="7" s="1"/>
  <c r="D18" i="7" s="1"/>
  <c r="D20" i="7" s="1"/>
  <c r="D22" i="7" s="1"/>
  <c r="F4" i="7" l="1"/>
  <c r="E16" i="7"/>
  <c r="E17" i="7" s="1"/>
  <c r="E18" i="7" s="1"/>
  <c r="E20" i="7" s="1"/>
  <c r="E22" i="7" s="1"/>
  <c r="G4" i="7" l="1"/>
  <c r="G16" i="7" s="1"/>
  <c r="G17" i="7" s="1"/>
  <c r="G18" i="7" s="1"/>
  <c r="G20" i="7" s="1"/>
  <c r="G22" i="7" s="1"/>
  <c r="F16" i="7"/>
  <c r="F17" i="7" s="1"/>
  <c r="F18" i="7" s="1"/>
  <c r="F20" i="7" s="1"/>
  <c r="F22" i="7" s="1"/>
</calcChain>
</file>

<file path=xl/comments1.xml><?xml version="1.0" encoding="utf-8"?>
<comments xmlns="http://schemas.openxmlformats.org/spreadsheetml/2006/main">
  <authors>
    <author>bseitz</author>
  </authors>
  <commentList>
    <comment ref="A14" authorId="0" shapeId="0">
      <text>
        <r>
          <rPr>
            <b/>
            <sz val="8"/>
            <color indexed="81"/>
            <rFont val="Tahoma"/>
            <family val="2"/>
          </rPr>
          <t>bseitz:</t>
        </r>
        <r>
          <rPr>
            <sz val="8"/>
            <color indexed="81"/>
            <rFont val="Tahoma"/>
            <family val="2"/>
          </rPr>
          <t xml:space="preserve">
~10% of house sq ft</t>
        </r>
      </text>
    </comment>
  </commentList>
</comments>
</file>

<file path=xl/sharedStrings.xml><?xml version="1.0" encoding="utf-8"?>
<sst xmlns="http://schemas.openxmlformats.org/spreadsheetml/2006/main" count="116" uniqueCount="100">
  <si>
    <t>Monthly</t>
  </si>
  <si>
    <t>Salary</t>
  </si>
  <si>
    <t>Medicare</t>
  </si>
  <si>
    <t>Office</t>
  </si>
  <si>
    <t>Utilities</t>
  </si>
  <si>
    <t>FICA</t>
  </si>
  <si>
    <t>Taxible Gross Income after SE Tax</t>
  </si>
  <si>
    <t>Billing Rate(s)</t>
  </si>
  <si>
    <t>Hourly</t>
  </si>
  <si>
    <t>Daily</t>
  </si>
  <si>
    <t>Yearly</t>
  </si>
  <si>
    <t>Vacation</t>
  </si>
  <si>
    <t>Holidays</t>
  </si>
  <si>
    <t>Marketing</t>
  </si>
  <si>
    <t>Administration</t>
  </si>
  <si>
    <t>Weekly</t>
  </si>
  <si>
    <t>Low</t>
  </si>
  <si>
    <t>Mid</t>
  </si>
  <si>
    <t>High</t>
  </si>
  <si>
    <t xml:space="preserve"> </t>
  </si>
  <si>
    <t>IBM Korea</t>
  </si>
  <si>
    <t>Microsoft</t>
  </si>
  <si>
    <t>Days in Year</t>
  </si>
  <si>
    <t>WeekEnds</t>
  </si>
  <si>
    <t>Billable Days Calculation</t>
  </si>
  <si>
    <t>Non Billable Time Off</t>
  </si>
  <si>
    <t xml:space="preserve">Administrative  </t>
  </si>
  <si>
    <t>Days per Year</t>
  </si>
  <si>
    <t>Std Workday Hours</t>
  </si>
  <si>
    <t>Staff</t>
  </si>
  <si>
    <t>Computers</t>
  </si>
  <si>
    <t>Books &amp; Education</t>
  </si>
  <si>
    <t>Software</t>
  </si>
  <si>
    <t>Cellphone</t>
  </si>
  <si>
    <t>Telephone</t>
  </si>
  <si>
    <t>Electricity</t>
  </si>
  <si>
    <t>Trash</t>
  </si>
  <si>
    <t>Target</t>
  </si>
  <si>
    <t>SEP 401K</t>
  </si>
  <si>
    <t>Employee Compensation</t>
  </si>
  <si>
    <t>Total Employee Compensation</t>
  </si>
  <si>
    <t>Equipment Total</t>
  </si>
  <si>
    <t>Supplies Total</t>
  </si>
  <si>
    <t>Insurance Total</t>
  </si>
  <si>
    <t>Travel &amp; Entertainment Total</t>
  </si>
  <si>
    <t>Automotive</t>
  </si>
  <si>
    <t>Travel &amp; Meals</t>
  </si>
  <si>
    <t>Total Business Expense</t>
  </si>
  <si>
    <t>Total Utilities</t>
  </si>
  <si>
    <t>SE TAX</t>
  </si>
  <si>
    <t>Total SE Tax</t>
  </si>
  <si>
    <t>Health Insurance</t>
  </si>
  <si>
    <t>Life Insurance</t>
  </si>
  <si>
    <t>Disability Insurance</t>
  </si>
  <si>
    <t>Accounting, Banking and Legal Fees</t>
  </si>
  <si>
    <t>Advertising&amp; Marketing</t>
  </si>
  <si>
    <t xml:space="preserve">Internet, Email &amp; DSL </t>
  </si>
  <si>
    <t>Total Revenue</t>
  </si>
  <si>
    <t>Expenses:</t>
  </si>
  <si>
    <t>FY1</t>
  </si>
  <si>
    <t>FY2</t>
  </si>
  <si>
    <t>FY3</t>
  </si>
  <si>
    <t>FY4</t>
  </si>
  <si>
    <t>FY5</t>
  </si>
  <si>
    <t>Taxes</t>
  </si>
  <si>
    <t>Office Expenses</t>
  </si>
  <si>
    <t>Inflation Rate Adjustement</t>
  </si>
  <si>
    <t>Total Expenses</t>
  </si>
  <si>
    <t>Business Reserve</t>
  </si>
  <si>
    <t>Estimated Income Tax</t>
  </si>
  <si>
    <t>Net Revenue</t>
  </si>
  <si>
    <t>Taxable Revenue</t>
  </si>
  <si>
    <t>Net Income</t>
  </si>
  <si>
    <t>Daily Billing Rate</t>
  </si>
  <si>
    <t>on first</t>
  </si>
  <si>
    <t>Net Earning Factor</t>
  </si>
  <si>
    <t>Net Earnings</t>
  </si>
  <si>
    <t>Net Income from Self-Employment</t>
  </si>
  <si>
    <t>MaxCombinedFICAandMedicare Tax</t>
  </si>
  <si>
    <t>FICA_OverMax Income</t>
  </si>
  <si>
    <t>MedicareOverCombined Rate (Unlimited)</t>
  </si>
  <si>
    <t>Margin</t>
  </si>
  <si>
    <t>Business Expense + Margin</t>
  </si>
  <si>
    <t>Maximum Available Billable Days</t>
  </si>
  <si>
    <t>Office Space (20'x20')</t>
  </si>
  <si>
    <t>Net Week Hours|days</t>
  </si>
  <si>
    <t>(Available) Work Hours|Days|Weeks</t>
  </si>
  <si>
    <t>Weeks per Year</t>
  </si>
  <si>
    <t>Std Workweek Days</t>
  </si>
  <si>
    <t>(Available) Billable Hours|Days|Weeks</t>
  </si>
  <si>
    <t>Hrs per Week</t>
  </si>
  <si>
    <t>Hours per Year</t>
  </si>
  <si>
    <t xml:space="preserve">Est. Down Time </t>
  </si>
  <si>
    <t>Est. Billable Hour | Days | Weeks</t>
  </si>
  <si>
    <t>Business Management, Marketing and Sales (OverHead)</t>
  </si>
  <si>
    <r>
      <rPr>
        <sz val="11"/>
        <color rgb="FF0070C0"/>
        <rFont val="Calibri"/>
        <family val="2"/>
        <scheme val="minor"/>
      </rPr>
      <t>Constants</t>
    </r>
    <r>
      <rPr>
        <sz val="11"/>
        <color theme="1"/>
        <rFont val="Calibri"/>
        <family val="2"/>
        <scheme val="minor"/>
      </rPr>
      <t xml:space="preserve"> and </t>
    </r>
    <r>
      <rPr>
        <sz val="11"/>
        <color rgb="FFFFC000"/>
        <rFont val="Calibri"/>
        <family val="2"/>
        <scheme val="minor"/>
      </rPr>
      <t>Variables</t>
    </r>
  </si>
  <si>
    <t>TOTAL OFFICE EXPENSES</t>
  </si>
  <si>
    <t>Available Hrs Percentage</t>
  </si>
  <si>
    <t>Billable Hrs Ratio</t>
  </si>
  <si>
    <t xml:space="preserve">Planning, Marketing and Sales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</si>
</sst>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_);[Red]\(&quot;$&quot;#,##0\)"/>
    <numFmt numFmtId="165" formatCode="&quot;$&quot;#,##0.00_);[Red]\(&quot;$&quot;#,##0.00\)"/>
    <numFmt numFmtId="166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i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i/>
      <sz val="11"/>
      <color theme="1"/>
      <name val="Calibri"/>
      <family val="2"/>
      <scheme val="minor"/>
    </font>
    <font>
      <sz val="10"/>
      <color rgb="FF333333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rgb="FF0070C0"/>
      <name val="Calibri"/>
      <family val="2"/>
      <scheme val="minor"/>
    </font>
    <font>
      <sz val="11"/>
      <color rgb="FFFFC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ck">
        <color auto="1"/>
      </top>
      <bottom/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166" fontId="0" fillId="0" borderId="0" xfId="1" applyFont="1"/>
    <xf numFmtId="166" fontId="0" fillId="0" borderId="0" xfId="0" applyNumberFormat="1"/>
    <xf numFmtId="0" fontId="3" fillId="0" borderId="0" xfId="0" applyFont="1"/>
    <xf numFmtId="9" fontId="0" fillId="0" borderId="0" xfId="2" applyFont="1"/>
    <xf numFmtId="10" fontId="0" fillId="0" borderId="0" xfId="2" applyNumberFormat="1" applyFont="1"/>
    <xf numFmtId="0" fontId="2" fillId="0" borderId="0" xfId="0" applyFont="1"/>
    <xf numFmtId="164" fontId="3" fillId="0" borderId="0" xfId="0" applyNumberFormat="1" applyFont="1"/>
    <xf numFmtId="166" fontId="0" fillId="3" borderId="0" xfId="0" applyNumberFormat="1" applyFill="1"/>
    <xf numFmtId="166" fontId="0" fillId="4" borderId="0" xfId="0" applyNumberFormat="1" applyFill="1"/>
    <xf numFmtId="166" fontId="0" fillId="5" borderId="0" xfId="0" applyNumberFormat="1" applyFill="1"/>
    <xf numFmtId="166" fontId="0" fillId="6" borderId="0" xfId="0" applyNumberFormat="1" applyFill="1"/>
    <xf numFmtId="0" fontId="0" fillId="2" borderId="0" xfId="0" applyFill="1"/>
    <xf numFmtId="166" fontId="0" fillId="7" borderId="0" xfId="1" applyFont="1" applyFill="1"/>
    <xf numFmtId="166" fontId="0" fillId="7" borderId="0" xfId="0" applyNumberFormat="1" applyFill="1"/>
    <xf numFmtId="166" fontId="0" fillId="6" borderId="0" xfId="1" applyFont="1" applyFill="1"/>
    <xf numFmtId="0" fontId="2" fillId="6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0" fillId="0" borderId="2" xfId="0" applyBorder="1"/>
    <xf numFmtId="0" fontId="4" fillId="0" borderId="0" xfId="0" applyFont="1"/>
    <xf numFmtId="0" fontId="0" fillId="0" borderId="0" xfId="0" applyFont="1"/>
    <xf numFmtId="0" fontId="4" fillId="0" borderId="2" xfId="0" applyFont="1" applyBorder="1"/>
    <xf numFmtId="166" fontId="4" fillId="0" borderId="2" xfId="1" applyFont="1" applyBorder="1"/>
    <xf numFmtId="166" fontId="4" fillId="0" borderId="0" xfId="1" applyFont="1"/>
    <xf numFmtId="166" fontId="0" fillId="0" borderId="0" xfId="1" applyFont="1" applyFill="1" applyBorder="1"/>
    <xf numFmtId="166" fontId="0" fillId="0" borderId="0" xfId="1" applyFont="1" applyBorder="1"/>
    <xf numFmtId="0" fontId="5" fillId="0" borderId="0" xfId="0" applyFont="1"/>
    <xf numFmtId="0" fontId="4" fillId="8" borderId="0" xfId="0" applyFont="1" applyFill="1"/>
    <xf numFmtId="0" fontId="0" fillId="8" borderId="0" xfId="0" applyFill="1"/>
    <xf numFmtId="166" fontId="0" fillId="8" borderId="0" xfId="0" applyNumberFormat="1" applyFill="1"/>
    <xf numFmtId="0" fontId="2" fillId="8" borderId="0" xfId="0" applyFont="1" applyFill="1"/>
    <xf numFmtId="166" fontId="0" fillId="8" borderId="2" xfId="0" applyNumberFormat="1" applyFill="1" applyBorder="1"/>
    <xf numFmtId="166" fontId="4" fillId="0" borderId="0" xfId="1" applyFont="1" applyBorder="1"/>
    <xf numFmtId="166" fontId="4" fillId="0" borderId="2" xfId="0" applyNumberFormat="1" applyFont="1" applyBorder="1"/>
    <xf numFmtId="0" fontId="6" fillId="2" borderId="0" xfId="0" applyFont="1" applyFill="1"/>
    <xf numFmtId="166" fontId="0" fillId="2" borderId="1" xfId="0" applyNumberFormat="1" applyFill="1" applyBorder="1"/>
    <xf numFmtId="0" fontId="6" fillId="5" borderId="0" xfId="0" applyFont="1" applyFill="1"/>
    <xf numFmtId="0" fontId="0" fillId="5" borderId="0" xfId="0" applyFill="1"/>
    <xf numFmtId="0" fontId="6" fillId="9" borderId="0" xfId="0" applyFont="1" applyFill="1"/>
    <xf numFmtId="0" fontId="0" fillId="9" borderId="0" xfId="0" applyFill="1"/>
    <xf numFmtId="166" fontId="4" fillId="9" borderId="2" xfId="0" applyNumberFormat="1" applyFont="1" applyFill="1" applyBorder="1"/>
    <xf numFmtId="0" fontId="2" fillId="9" borderId="0" xfId="0" applyFont="1" applyFill="1"/>
    <xf numFmtId="166" fontId="0" fillId="9" borderId="0" xfId="1" applyFont="1" applyFill="1"/>
    <xf numFmtId="166" fontId="2" fillId="9" borderId="1" xfId="1" applyFont="1" applyFill="1" applyBorder="1"/>
    <xf numFmtId="0" fontId="4" fillId="2" borderId="0" xfId="0" applyFont="1" applyFill="1"/>
    <xf numFmtId="166" fontId="4" fillId="2" borderId="2" xfId="1" applyFont="1" applyFill="1" applyBorder="1"/>
    <xf numFmtId="10" fontId="0" fillId="9" borderId="0" xfId="2" applyNumberFormat="1" applyFont="1" applyFill="1"/>
    <xf numFmtId="166" fontId="0" fillId="9" borderId="0" xfId="0" applyNumberFormat="1" applyFill="1"/>
    <xf numFmtId="10" fontId="3" fillId="0" borderId="0" xfId="2" applyNumberFormat="1" applyFont="1"/>
    <xf numFmtId="0" fontId="7" fillId="0" borderId="0" xfId="0" applyFont="1"/>
    <xf numFmtId="165" fontId="0" fillId="0" borderId="0" xfId="0" applyNumberFormat="1"/>
    <xf numFmtId="9" fontId="0" fillId="0" borderId="0" xfId="0" applyNumberFormat="1"/>
    <xf numFmtId="0" fontId="0" fillId="10" borderId="0" xfId="0" applyFill="1"/>
    <xf numFmtId="1" fontId="0" fillId="0" borderId="0" xfId="0" applyNumberFormat="1"/>
    <xf numFmtId="1" fontId="0" fillId="0" borderId="2" xfId="0" applyNumberFormat="1" applyBorder="1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0" fillId="0" borderId="0" xfId="0" applyBorder="1"/>
    <xf numFmtId="9" fontId="0" fillId="5" borderId="0" xfId="2" applyFont="1" applyFill="1"/>
    <xf numFmtId="166" fontId="6" fillId="5" borderId="2" xfId="1" applyFont="1" applyFill="1" applyBorder="1"/>
    <xf numFmtId="166" fontId="6" fillId="5" borderId="0" xfId="1" applyFont="1" applyFill="1"/>
    <xf numFmtId="0" fontId="0" fillId="3" borderId="2" xfId="0" applyFill="1" applyBorder="1"/>
    <xf numFmtId="0" fontId="2" fillId="0" borderId="0" xfId="0" applyFont="1" applyAlignment="1">
      <alignment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D10" sqref="D10"/>
    </sheetView>
  </sheetViews>
  <sheetFormatPr defaultRowHeight="15" x14ac:dyDescent="0.25"/>
  <cols>
    <col min="1" max="1" width="31" bestFit="1" customWidth="1"/>
    <col min="4" max="6" width="12.5703125" bestFit="1" customWidth="1"/>
    <col min="8" max="9" width="12.5703125" bestFit="1" customWidth="1"/>
    <col min="11" max="11" width="11.5703125" bestFit="1" customWidth="1"/>
  </cols>
  <sheetData>
    <row r="1" spans="1:11" x14ac:dyDescent="0.25">
      <c r="D1" t="s">
        <v>16</v>
      </c>
      <c r="E1" t="s">
        <v>17</v>
      </c>
      <c r="F1" t="s">
        <v>18</v>
      </c>
      <c r="G1" t="s">
        <v>37</v>
      </c>
    </row>
    <row r="2" spans="1:11" x14ac:dyDescent="0.25">
      <c r="B2" t="s">
        <v>0</v>
      </c>
    </row>
    <row r="5" spans="1:11" x14ac:dyDescent="0.25">
      <c r="A5" s="27" t="s">
        <v>40</v>
      </c>
      <c r="B5" s="28"/>
      <c r="C5" s="28"/>
      <c r="D5" s="29">
        <f>'Business Expense'!D9</f>
        <v>126334.88</v>
      </c>
      <c r="E5" s="29">
        <f>'Business Expense'!E9</f>
        <v>181334.88</v>
      </c>
      <c r="F5" s="29">
        <f>'Business Expense'!F9</f>
        <v>225334.88</v>
      </c>
    </row>
    <row r="6" spans="1:11" ht="15.75" thickBot="1" x14ac:dyDescent="0.3">
      <c r="A6" s="28" t="s">
        <v>50</v>
      </c>
      <c r="B6" s="28"/>
      <c r="C6" s="28"/>
      <c r="D6" s="29">
        <f>'SE Tax'!D6</f>
        <v>19329.236639999999</v>
      </c>
      <c r="E6" s="29">
        <f>'SE Tax'!E6</f>
        <v>27744.236639999999</v>
      </c>
      <c r="F6" s="29">
        <f>'SE Tax'!F6</f>
        <v>34476.236640000003</v>
      </c>
    </row>
    <row r="7" spans="1:11" ht="15.75" thickTop="1" x14ac:dyDescent="0.25">
      <c r="A7" s="30" t="s">
        <v>6</v>
      </c>
      <c r="B7" s="28"/>
      <c r="C7" s="28"/>
      <c r="D7" s="31">
        <f>D5-D6</f>
        <v>107005.64336</v>
      </c>
      <c r="E7" s="31">
        <f t="shared" ref="E7:F7" si="0">E5-E6</f>
        <v>153590.64336000002</v>
      </c>
      <c r="F7" s="31">
        <f t="shared" si="0"/>
        <v>190858.64335999999</v>
      </c>
    </row>
    <row r="9" spans="1:11" x14ac:dyDescent="0.25">
      <c r="A9" t="s">
        <v>81</v>
      </c>
      <c r="D9" s="4">
        <v>0.2</v>
      </c>
      <c r="E9" s="51">
        <f>D9</f>
        <v>0.2</v>
      </c>
      <c r="F9" s="51">
        <f>D9</f>
        <v>0.2</v>
      </c>
    </row>
    <row r="10" spans="1:11" x14ac:dyDescent="0.25">
      <c r="A10" s="30" t="s">
        <v>82</v>
      </c>
      <c r="B10" s="28"/>
      <c r="C10" s="28"/>
      <c r="D10" s="29">
        <f>'Business Expense'!D45*(1+D9)</f>
        <v>168305.856</v>
      </c>
      <c r="E10" s="29">
        <f>'Business Expense'!E45*(1+E9)</f>
        <v>232289.856</v>
      </c>
      <c r="F10" s="29">
        <f>'Business Expense'!F45*(1+F9)</f>
        <v>287105.85599999997</v>
      </c>
    </row>
    <row r="12" spans="1:11" x14ac:dyDescent="0.25">
      <c r="A12" t="s">
        <v>7</v>
      </c>
      <c r="D12" s="2"/>
      <c r="H12" s="16" t="s">
        <v>20</v>
      </c>
      <c r="I12" s="17" t="s">
        <v>21</v>
      </c>
    </row>
    <row r="13" spans="1:11" x14ac:dyDescent="0.25">
      <c r="A13" t="s">
        <v>8</v>
      </c>
      <c r="D13" s="9">
        <f>D14/8</f>
        <v>186.1790442477876</v>
      </c>
      <c r="E13" s="9">
        <f t="shared" ref="E13:F13" si="1">E14/8</f>
        <v>256.95780530973451</v>
      </c>
      <c r="F13" s="8">
        <f t="shared" si="1"/>
        <v>317.59497345132741</v>
      </c>
      <c r="H13" s="15">
        <v>235</v>
      </c>
      <c r="I13" s="14">
        <f>I14/8</f>
        <v>250</v>
      </c>
      <c r="K13" s="2"/>
    </row>
    <row r="14" spans="1:11" x14ac:dyDescent="0.25">
      <c r="A14" t="s">
        <v>9</v>
      </c>
      <c r="D14" s="9">
        <f>D10/Est._Billable_Days</f>
        <v>1489.4323539823008</v>
      </c>
      <c r="E14" s="9">
        <f>E10/Est._Billable_Days</f>
        <v>2055.6624424778761</v>
      </c>
      <c r="F14" s="8">
        <f>F10/Est._Billable_Days</f>
        <v>2540.7597876106192</v>
      </c>
      <c r="H14" s="15">
        <f>H13*8</f>
        <v>1880</v>
      </c>
      <c r="I14" s="13">
        <v>2000</v>
      </c>
      <c r="K14" s="2"/>
    </row>
    <row r="15" spans="1:11" x14ac:dyDescent="0.25">
      <c r="A15" t="s">
        <v>15</v>
      </c>
      <c r="D15" s="9">
        <f>D14*5</f>
        <v>7447.1617699115041</v>
      </c>
      <c r="E15" s="8">
        <f t="shared" ref="E15:F15" si="2">E14*5</f>
        <v>10278.312212389381</v>
      </c>
      <c r="F15" s="10">
        <f t="shared" si="2"/>
        <v>12703.798938053096</v>
      </c>
      <c r="H15" s="11">
        <f>H14*5</f>
        <v>9400</v>
      </c>
      <c r="I15" s="14">
        <f>I14*5</f>
        <v>10000</v>
      </c>
    </row>
    <row r="16" spans="1:11" x14ac:dyDescent="0.25">
      <c r="A16" t="s">
        <v>0</v>
      </c>
      <c r="D16" s="8">
        <f>D14*20</f>
        <v>29788.647079646016</v>
      </c>
      <c r="E16" s="10">
        <f t="shared" ref="E16:F16" si="3">E14*20</f>
        <v>41113.248849557523</v>
      </c>
      <c r="F16" s="10">
        <f t="shared" si="3"/>
        <v>50815.195752212385</v>
      </c>
      <c r="H16" s="11">
        <f>(H15*52)/12</f>
        <v>40733.333333333336</v>
      </c>
      <c r="I16" s="14">
        <f>(I15*52)/12</f>
        <v>43333.333333333336</v>
      </c>
    </row>
    <row r="17" spans="1:9" x14ac:dyDescent="0.25">
      <c r="A17" t="s">
        <v>10</v>
      </c>
      <c r="D17" s="8">
        <f>D16*12</f>
        <v>357463.76495575218</v>
      </c>
      <c r="E17" s="10">
        <f t="shared" ref="E17:F17" si="4">E16*12</f>
        <v>493358.98619469028</v>
      </c>
      <c r="F17" s="10">
        <f t="shared" si="4"/>
        <v>609782.34902654868</v>
      </c>
      <c r="H17" s="11">
        <f>H16*12</f>
        <v>488800</v>
      </c>
      <c r="I17" s="14">
        <f>I16*12</f>
        <v>520000</v>
      </c>
    </row>
    <row r="20" spans="1:9" x14ac:dyDescent="0.25">
      <c r="A20" t="s">
        <v>83</v>
      </c>
      <c r="B20">
        <f>Available_Billable_Days</f>
        <v>175</v>
      </c>
      <c r="D20" s="2">
        <f>D14*Available_Billable_Days</f>
        <v>260650.66194690263</v>
      </c>
      <c r="E20" s="2">
        <f>E14*Available_Billable_Days</f>
        <v>359740.9274336283</v>
      </c>
      <c r="F20" s="2">
        <f>F14*Available_Billable_Days</f>
        <v>444632.96283185837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6"/>
  <sheetViews>
    <sheetView topLeftCell="A10" workbookViewId="0">
      <selection activeCell="G28" sqref="G28"/>
    </sheetView>
  </sheetViews>
  <sheetFormatPr defaultRowHeight="15" x14ac:dyDescent="0.25"/>
  <cols>
    <col min="1" max="1" width="41.28515625" bestFit="1" customWidth="1"/>
    <col min="2" max="2" width="13.5703125" customWidth="1"/>
    <col min="3" max="3" width="15.28515625" bestFit="1" customWidth="1"/>
    <col min="4" max="4" width="12.85546875" bestFit="1" customWidth="1"/>
    <col min="5" max="5" width="14.85546875" bestFit="1" customWidth="1"/>
    <col min="7" max="7" width="11" bestFit="1" customWidth="1"/>
  </cols>
  <sheetData>
    <row r="3" spans="1:8" x14ac:dyDescent="0.25">
      <c r="A3" s="6" t="s">
        <v>24</v>
      </c>
    </row>
    <row r="4" spans="1:8" ht="45" x14ac:dyDescent="0.25">
      <c r="B4" s="55" t="s">
        <v>95</v>
      </c>
      <c r="C4" s="6" t="s">
        <v>91</v>
      </c>
      <c r="D4" s="6" t="s">
        <v>27</v>
      </c>
      <c r="E4" s="6" t="s">
        <v>87</v>
      </c>
      <c r="G4" s="62" t="s">
        <v>97</v>
      </c>
      <c r="H4" s="62" t="s">
        <v>98</v>
      </c>
    </row>
    <row r="5" spans="1:8" x14ac:dyDescent="0.25">
      <c r="A5" t="s">
        <v>28</v>
      </c>
      <c r="B5" s="52">
        <v>8</v>
      </c>
    </row>
    <row r="6" spans="1:8" x14ac:dyDescent="0.25">
      <c r="A6" t="s">
        <v>88</v>
      </c>
      <c r="B6" s="52">
        <v>5</v>
      </c>
    </row>
    <row r="7" spans="1:8" x14ac:dyDescent="0.25">
      <c r="A7" t="s">
        <v>22</v>
      </c>
      <c r="C7">
        <f>D7*Std_Workday_Hours</f>
        <v>2920</v>
      </c>
      <c r="D7">
        <v>365</v>
      </c>
      <c r="E7" s="53">
        <f>D7/7</f>
        <v>52.142857142857146</v>
      </c>
    </row>
    <row r="8" spans="1:8" ht="15.75" thickBot="1" x14ac:dyDescent="0.3">
      <c r="A8" t="s">
        <v>23</v>
      </c>
      <c r="C8">
        <f>D8*Std_Workday_Hours</f>
        <v>832</v>
      </c>
      <c r="D8">
        <v>104</v>
      </c>
    </row>
    <row r="9" spans="1:8" ht="15.75" thickTop="1" x14ac:dyDescent="0.25">
      <c r="A9" t="s">
        <v>85</v>
      </c>
      <c r="C9" s="18">
        <f>D9*Std_Workday_Hours</f>
        <v>2088</v>
      </c>
      <c r="D9" s="18">
        <f>D7-D8</f>
        <v>261</v>
      </c>
      <c r="E9" s="54">
        <f>D9/Std_Workweek_Days</f>
        <v>52.2</v>
      </c>
    </row>
    <row r="11" spans="1:8" x14ac:dyDescent="0.25">
      <c r="A11" t="s">
        <v>11</v>
      </c>
      <c r="C11">
        <f>D11*Std_Workday_Hours</f>
        <v>120</v>
      </c>
      <c r="D11">
        <v>15</v>
      </c>
      <c r="E11">
        <f>D11/Std_Workweek_Days</f>
        <v>3</v>
      </c>
    </row>
    <row r="12" spans="1:8" ht="15.75" thickBot="1" x14ac:dyDescent="0.3">
      <c r="A12" t="s">
        <v>12</v>
      </c>
      <c r="C12">
        <f>D12*Std_Workday_Hours</f>
        <v>96</v>
      </c>
      <c r="D12">
        <v>12</v>
      </c>
    </row>
    <row r="13" spans="1:8" ht="15.75" thickTop="1" x14ac:dyDescent="0.25">
      <c r="A13" s="19" t="s">
        <v>25</v>
      </c>
      <c r="B13" s="19"/>
      <c r="C13" s="18">
        <f>D13*Std_Workday_Hours</f>
        <v>216</v>
      </c>
      <c r="D13" s="18">
        <f>SUM(D11:D12)</f>
        <v>27</v>
      </c>
      <c r="E13" s="18">
        <f>D13/5</f>
        <v>5.4</v>
      </c>
    </row>
    <row r="16" spans="1:8" x14ac:dyDescent="0.25">
      <c r="A16" s="6" t="s">
        <v>86</v>
      </c>
      <c r="B16" s="6"/>
      <c r="C16">
        <f>C9-C13</f>
        <v>1872</v>
      </c>
      <c r="D16">
        <f>D9-D13</f>
        <v>234</v>
      </c>
      <c r="E16">
        <f>D16/5</f>
        <v>46.8</v>
      </c>
    </row>
    <row r="18" spans="1:8" ht="30" x14ac:dyDescent="0.25">
      <c r="A18" s="56" t="s">
        <v>94</v>
      </c>
      <c r="B18" s="19" t="s">
        <v>90</v>
      </c>
    </row>
    <row r="19" spans="1:8" x14ac:dyDescent="0.25">
      <c r="A19" t="s">
        <v>99</v>
      </c>
      <c r="B19" s="37">
        <v>8</v>
      </c>
      <c r="C19">
        <f>Marketing_Days_per_Year*Std_Workday_Hours</f>
        <v>376</v>
      </c>
      <c r="D19">
        <f>ROUNDUP((B19/Std_Workday_Hours)*Available_Work_Weeks, 0)</f>
        <v>47</v>
      </c>
      <c r="E19">
        <f>Marketing_Days_per_Year/5</f>
        <v>9.4</v>
      </c>
      <c r="G19" s="4">
        <f>C19/C16</f>
        <v>0.20085470085470086</v>
      </c>
      <c r="H19">
        <f>C19/C26</f>
        <v>0.41592920353982299</v>
      </c>
    </row>
    <row r="20" spans="1:8" ht="15.75" thickBot="1" x14ac:dyDescent="0.3">
      <c r="A20" t="s">
        <v>26</v>
      </c>
      <c r="B20" s="37">
        <v>2</v>
      </c>
      <c r="C20">
        <f>Admin_Days_per_Year*Std_Workday_Hours</f>
        <v>96</v>
      </c>
      <c r="D20">
        <f>ROUNDUP((B20/Std_Workday_Hours)*Available_Work_Weeks, 0)</f>
        <v>12</v>
      </c>
      <c r="E20">
        <f>Marketing_Days_per_Year/5</f>
        <v>9.4</v>
      </c>
      <c r="G20" s="4">
        <f>C20/C16</f>
        <v>5.128205128205128E-2</v>
      </c>
      <c r="H20">
        <f>C20/C26</f>
        <v>0.10619469026548672</v>
      </c>
    </row>
    <row r="21" spans="1:8" ht="15.75" thickTop="1" x14ac:dyDescent="0.25">
      <c r="B21" s="18">
        <f>SUM(B19:B20)</f>
        <v>10</v>
      </c>
      <c r="C21" s="18">
        <f>SUM(C19:C20)</f>
        <v>472</v>
      </c>
      <c r="D21" s="18">
        <f>SUM(D19:D20)</f>
        <v>59</v>
      </c>
      <c r="E21" s="18">
        <f>Marketing_Days_per_Year/5</f>
        <v>9.4</v>
      </c>
    </row>
    <row r="22" spans="1:8" ht="15.75" thickBot="1" x14ac:dyDescent="0.3"/>
    <row r="23" spans="1:8" ht="15.75" thickTop="1" x14ac:dyDescent="0.25">
      <c r="A23" s="6" t="s">
        <v>89</v>
      </c>
      <c r="B23" s="6"/>
      <c r="C23" s="18">
        <f>Available_Billable_Days*Std_Workday_Hours</f>
        <v>1400</v>
      </c>
      <c r="D23" s="18">
        <f>Available_Work_Days-Business_Overhead_Days_per_Year</f>
        <v>175</v>
      </c>
      <c r="E23" s="18">
        <f>Available_Billable_Days/Std_Workweek_Days</f>
        <v>35</v>
      </c>
    </row>
    <row r="24" spans="1:8" x14ac:dyDescent="0.25">
      <c r="A24" s="6"/>
      <c r="B24" s="6"/>
      <c r="D24" s="57"/>
    </row>
    <row r="25" spans="1:8" ht="15.75" thickBot="1" x14ac:dyDescent="0.3">
      <c r="A25" t="s">
        <v>92</v>
      </c>
      <c r="B25" s="58">
        <v>0.35</v>
      </c>
      <c r="C25">
        <f>D25*Std_Workday_Hours</f>
        <v>496</v>
      </c>
      <c r="D25">
        <f>ROUNDUP(Available_Billable_Days*Est._Down_Time_Percentage,0)</f>
        <v>62</v>
      </c>
      <c r="E25">
        <f>D25/Std_Workweek_Days</f>
        <v>12.4</v>
      </c>
    </row>
    <row r="26" spans="1:8" ht="15.75" thickTop="1" x14ac:dyDescent="0.25">
      <c r="A26" s="6" t="s">
        <v>93</v>
      </c>
      <c r="B26" s="6"/>
      <c r="C26" s="61">
        <f>Est._Billable_Days*Std_Workday_Hours</f>
        <v>904</v>
      </c>
      <c r="D26" s="61">
        <f>Available_Billable_Days-D25</f>
        <v>113</v>
      </c>
      <c r="E26" s="61">
        <f>Est._Billable_Days/Std_Workweek_Days</f>
        <v>22.6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7"/>
  <sheetViews>
    <sheetView workbookViewId="0">
      <selection activeCell="B15" sqref="B15"/>
    </sheetView>
  </sheetViews>
  <sheetFormatPr defaultRowHeight="15" x14ac:dyDescent="0.25"/>
  <cols>
    <col min="1" max="1" width="33.42578125" bestFit="1" customWidth="1"/>
    <col min="2" max="2" width="11.140625" bestFit="1" customWidth="1"/>
    <col min="4" max="6" width="12.5703125" bestFit="1" customWidth="1"/>
  </cols>
  <sheetData>
    <row r="1" spans="1:8" x14ac:dyDescent="0.25">
      <c r="D1" s="6" t="s">
        <v>16</v>
      </c>
      <c r="E1" s="6" t="s">
        <v>17</v>
      </c>
      <c r="F1" s="6" t="s">
        <v>18</v>
      </c>
      <c r="G1" s="6" t="s">
        <v>37</v>
      </c>
      <c r="H1" t="s">
        <v>19</v>
      </c>
    </row>
    <row r="2" spans="1:8" x14ac:dyDescent="0.25">
      <c r="B2" t="s">
        <v>0</v>
      </c>
    </row>
    <row r="3" spans="1:8" x14ac:dyDescent="0.25">
      <c r="A3" s="6" t="s">
        <v>29</v>
      </c>
    </row>
    <row r="4" spans="1:8" x14ac:dyDescent="0.25">
      <c r="A4" t="s">
        <v>51</v>
      </c>
      <c r="B4" s="1">
        <v>1361.24</v>
      </c>
      <c r="D4" s="2">
        <f>B4*12</f>
        <v>16334.880000000001</v>
      </c>
      <c r="E4" s="2">
        <f>D4</f>
        <v>16334.880000000001</v>
      </c>
      <c r="F4" s="2">
        <f>D4</f>
        <v>16334.880000000001</v>
      </c>
    </row>
    <row r="5" spans="1:8" x14ac:dyDescent="0.25">
      <c r="A5" t="s">
        <v>52</v>
      </c>
      <c r="B5" s="1"/>
      <c r="D5" s="2"/>
      <c r="E5" s="2"/>
      <c r="F5" s="2"/>
    </row>
    <row r="6" spans="1:8" x14ac:dyDescent="0.25">
      <c r="A6" t="s">
        <v>53</v>
      </c>
      <c r="B6" s="1"/>
      <c r="D6" s="2"/>
      <c r="E6" s="2"/>
      <c r="F6" s="2"/>
    </row>
    <row r="7" spans="1:8" x14ac:dyDescent="0.25">
      <c r="A7" t="s">
        <v>1</v>
      </c>
      <c r="D7" s="1">
        <v>100000</v>
      </c>
      <c r="E7" s="1">
        <v>150000</v>
      </c>
      <c r="F7" s="1">
        <v>190000</v>
      </c>
    </row>
    <row r="8" spans="1:8" ht="15.75" thickBot="1" x14ac:dyDescent="0.3">
      <c r="A8" t="s">
        <v>38</v>
      </c>
      <c r="B8" s="4">
        <v>0.2</v>
      </c>
      <c r="D8" s="2">
        <f>(D7*SEP_401K_Percentage)*0.5</f>
        <v>10000</v>
      </c>
      <c r="E8" s="2">
        <f>(E7*SEP_401K_Percentage)*0.5</f>
        <v>15000</v>
      </c>
      <c r="F8" s="2">
        <f>(F7*SEP_401K_Percentage)*0.5</f>
        <v>19000</v>
      </c>
    </row>
    <row r="9" spans="1:8" ht="15.75" thickTop="1" x14ac:dyDescent="0.25">
      <c r="A9" s="44" t="s">
        <v>40</v>
      </c>
      <c r="B9" s="12"/>
      <c r="C9" s="12"/>
      <c r="D9" s="45">
        <f>SUM(D4:D8)</f>
        <v>126334.88</v>
      </c>
      <c r="E9" s="45">
        <f t="shared" ref="E9:F9" si="0">SUM(E4:E8)</f>
        <v>181334.88</v>
      </c>
      <c r="F9" s="45">
        <f t="shared" si="0"/>
        <v>225334.88</v>
      </c>
    </row>
    <row r="13" spans="1:8" ht="15.75" thickBot="1" x14ac:dyDescent="0.3">
      <c r="A13" s="6" t="s">
        <v>3</v>
      </c>
    </row>
    <row r="14" spans="1:8" ht="15.75" thickTop="1" x14ac:dyDescent="0.25">
      <c r="A14" s="21" t="s">
        <v>84</v>
      </c>
      <c r="B14" s="22">
        <f>0.1*(20000/12)</f>
        <v>166.66666666666669</v>
      </c>
      <c r="D14" s="22">
        <f>B14*12</f>
        <v>2000.0000000000002</v>
      </c>
      <c r="E14" s="22">
        <f>B14*12</f>
        <v>2000.0000000000002</v>
      </c>
      <c r="F14" s="22">
        <f>B14*12</f>
        <v>2000.0000000000002</v>
      </c>
    </row>
    <row r="15" spans="1:8" x14ac:dyDescent="0.25">
      <c r="A15" s="6" t="s">
        <v>19</v>
      </c>
    </row>
    <row r="16" spans="1:8" x14ac:dyDescent="0.25">
      <c r="A16" t="s">
        <v>30</v>
      </c>
      <c r="B16" s="1">
        <v>100</v>
      </c>
      <c r="C16" s="1"/>
      <c r="D16" s="1">
        <f>B16*12</f>
        <v>1200</v>
      </c>
      <c r="E16" s="1">
        <f>D16</f>
        <v>1200</v>
      </c>
      <c r="F16" s="1">
        <f>D16</f>
        <v>1200</v>
      </c>
    </row>
    <row r="17" spans="1:6" x14ac:dyDescent="0.25">
      <c r="A17" t="s">
        <v>31</v>
      </c>
      <c r="B17" s="1">
        <v>100</v>
      </c>
      <c r="C17" s="1"/>
      <c r="D17" s="1">
        <f t="shared" ref="D17:D18" si="1">B17*12</f>
        <v>1200</v>
      </c>
      <c r="E17" s="1">
        <f t="shared" ref="E17:E23" si="2">D17</f>
        <v>1200</v>
      </c>
      <c r="F17" s="1">
        <f t="shared" ref="F17:F19" si="3">D17</f>
        <v>1200</v>
      </c>
    </row>
    <row r="18" spans="1:6" ht="15.75" thickBot="1" x14ac:dyDescent="0.3">
      <c r="A18" t="s">
        <v>32</v>
      </c>
      <c r="B18" s="1">
        <v>100</v>
      </c>
      <c r="C18" s="1"/>
      <c r="D18" s="1">
        <f t="shared" si="1"/>
        <v>1200</v>
      </c>
      <c r="E18" s="1">
        <f t="shared" si="2"/>
        <v>1200</v>
      </c>
      <c r="F18" s="1">
        <f t="shared" si="3"/>
        <v>1200</v>
      </c>
    </row>
    <row r="19" spans="1:6" ht="15.75" thickTop="1" x14ac:dyDescent="0.25">
      <c r="A19" s="21" t="s">
        <v>41</v>
      </c>
      <c r="B19" s="22">
        <f>SUM(B16:B18)</f>
        <v>300</v>
      </c>
      <c r="C19" s="23"/>
      <c r="D19" s="22">
        <f>SUM(D16:D18)</f>
        <v>3600</v>
      </c>
      <c r="E19" s="22">
        <f t="shared" si="2"/>
        <v>3600</v>
      </c>
      <c r="F19" s="22">
        <f t="shared" si="3"/>
        <v>3600</v>
      </c>
    </row>
    <row r="20" spans="1:6" ht="15.75" thickBot="1" x14ac:dyDescent="0.3">
      <c r="B20" s="1"/>
      <c r="C20" s="1"/>
      <c r="D20" s="1"/>
      <c r="E20" s="1"/>
      <c r="F20" s="1"/>
    </row>
    <row r="21" spans="1:6" ht="15.75" thickTop="1" x14ac:dyDescent="0.25">
      <c r="A21" s="19" t="s">
        <v>42</v>
      </c>
      <c r="B21" s="22">
        <v>20</v>
      </c>
      <c r="C21" s="23"/>
      <c r="D21" s="22">
        <f>B21*12</f>
        <v>240</v>
      </c>
      <c r="E21" s="22">
        <f t="shared" si="2"/>
        <v>240</v>
      </c>
      <c r="F21" s="22">
        <f>D21</f>
        <v>240</v>
      </c>
    </row>
    <row r="22" spans="1:6" ht="15.75" thickBot="1" x14ac:dyDescent="0.3">
      <c r="A22" s="19"/>
      <c r="B22" s="24" t="s">
        <v>19</v>
      </c>
      <c r="C22" s="1"/>
      <c r="D22" s="1"/>
      <c r="E22" s="1"/>
      <c r="F22" s="1"/>
    </row>
    <row r="23" spans="1:6" ht="15.75" thickTop="1" x14ac:dyDescent="0.25">
      <c r="A23" s="19" t="s">
        <v>43</v>
      </c>
      <c r="B23" s="22">
        <v>100</v>
      </c>
      <c r="C23" s="23"/>
      <c r="D23" s="22">
        <f>B23*12</f>
        <v>1200</v>
      </c>
      <c r="E23" s="22">
        <f t="shared" si="2"/>
        <v>1200</v>
      </c>
      <c r="F23" s="22">
        <f>D23</f>
        <v>1200</v>
      </c>
    </row>
    <row r="24" spans="1:6" x14ac:dyDescent="0.25">
      <c r="A24" s="19"/>
      <c r="B24" s="25"/>
      <c r="C24" s="1"/>
      <c r="D24" s="1"/>
      <c r="E24" s="1"/>
      <c r="F24" s="1"/>
    </row>
    <row r="25" spans="1:6" x14ac:dyDescent="0.25">
      <c r="A25" s="19" t="s">
        <v>4</v>
      </c>
      <c r="B25" s="1"/>
      <c r="C25" s="1"/>
      <c r="D25" s="1"/>
      <c r="E25" s="1"/>
      <c r="F25" s="1"/>
    </row>
    <row r="26" spans="1:6" x14ac:dyDescent="0.25">
      <c r="A26" s="20" t="s">
        <v>33</v>
      </c>
      <c r="B26" s="1">
        <v>150</v>
      </c>
      <c r="C26" s="1"/>
      <c r="D26" s="1">
        <f>B26*12</f>
        <v>1800</v>
      </c>
      <c r="E26" s="1">
        <f>D26</f>
        <v>1800</v>
      </c>
      <c r="F26" s="1">
        <f>D26</f>
        <v>1800</v>
      </c>
    </row>
    <row r="27" spans="1:6" x14ac:dyDescent="0.25">
      <c r="A27" s="20" t="s">
        <v>34</v>
      </c>
      <c r="B27" s="1">
        <v>30</v>
      </c>
      <c r="C27" s="1"/>
      <c r="D27" s="1">
        <f t="shared" ref="D27:D30" si="4">B27*12</f>
        <v>360</v>
      </c>
      <c r="E27" s="1">
        <f t="shared" ref="E27:E30" si="5">D27</f>
        <v>360</v>
      </c>
      <c r="F27" s="1">
        <f t="shared" ref="F27:F30" si="6">D27</f>
        <v>360</v>
      </c>
    </row>
    <row r="28" spans="1:6" x14ac:dyDescent="0.25">
      <c r="A28" s="20" t="s">
        <v>35</v>
      </c>
      <c r="B28" s="1">
        <v>70</v>
      </c>
      <c r="C28" s="1"/>
      <c r="D28" s="1">
        <f t="shared" si="4"/>
        <v>840</v>
      </c>
      <c r="E28" s="1">
        <f t="shared" si="5"/>
        <v>840</v>
      </c>
      <c r="F28" s="1">
        <f t="shared" si="6"/>
        <v>840</v>
      </c>
    </row>
    <row r="29" spans="1:6" x14ac:dyDescent="0.25">
      <c r="A29" t="s">
        <v>56</v>
      </c>
      <c r="B29" s="1">
        <v>100</v>
      </c>
      <c r="C29" s="1"/>
      <c r="D29" s="1">
        <f>B29*12</f>
        <v>1200</v>
      </c>
      <c r="E29" s="1">
        <f>D29</f>
        <v>1200</v>
      </c>
      <c r="F29" s="1">
        <f>D29</f>
        <v>1200</v>
      </c>
    </row>
    <row r="30" spans="1:6" ht="15.75" thickBot="1" x14ac:dyDescent="0.3">
      <c r="A30" s="20" t="s">
        <v>36</v>
      </c>
      <c r="B30" s="1">
        <v>20</v>
      </c>
      <c r="C30" s="1"/>
      <c r="D30" s="1">
        <f t="shared" si="4"/>
        <v>240</v>
      </c>
      <c r="E30" s="1">
        <f t="shared" si="5"/>
        <v>240</v>
      </c>
      <c r="F30" s="1">
        <f t="shared" si="6"/>
        <v>240</v>
      </c>
    </row>
    <row r="31" spans="1:6" ht="15.75" thickTop="1" x14ac:dyDescent="0.25">
      <c r="A31" s="19" t="s">
        <v>48</v>
      </c>
      <c r="B31" s="22">
        <f>SUM(B26:B30)</f>
        <v>370</v>
      </c>
      <c r="C31" s="23"/>
      <c r="D31" s="22">
        <f t="shared" ref="D31:F31" si="7">SUM(D26:D30)</f>
        <v>4440</v>
      </c>
      <c r="E31" s="22">
        <f t="shared" si="7"/>
        <v>4440</v>
      </c>
      <c r="F31" s="22">
        <f t="shared" si="7"/>
        <v>4440</v>
      </c>
    </row>
    <row r="32" spans="1:6" ht="15.75" thickBot="1" x14ac:dyDescent="0.3">
      <c r="A32" s="19"/>
      <c r="B32" s="32"/>
      <c r="C32" s="23"/>
      <c r="D32" s="32"/>
      <c r="E32" s="32"/>
      <c r="F32" s="32"/>
    </row>
    <row r="33" spans="1:6" ht="15.75" thickTop="1" x14ac:dyDescent="0.25">
      <c r="A33" s="36" t="s">
        <v>96</v>
      </c>
      <c r="B33" s="59">
        <f>B14+B19+B21+B23+B31</f>
        <v>956.66666666666674</v>
      </c>
      <c r="C33" s="60"/>
      <c r="D33" s="59">
        <f t="shared" ref="D33:F33" si="8">D14+D19+D21+D23+D31</f>
        <v>11480</v>
      </c>
      <c r="E33" s="59">
        <f t="shared" si="8"/>
        <v>11480</v>
      </c>
      <c r="F33" s="59">
        <f t="shared" si="8"/>
        <v>11480</v>
      </c>
    </row>
    <row r="34" spans="1:6" ht="15.75" thickBot="1" x14ac:dyDescent="0.3">
      <c r="A34" s="19"/>
      <c r="B34" s="32"/>
      <c r="C34" s="23"/>
      <c r="D34" s="32"/>
      <c r="E34" s="32"/>
      <c r="F34" s="32"/>
    </row>
    <row r="35" spans="1:6" ht="15.75" thickTop="1" x14ac:dyDescent="0.25">
      <c r="A35" s="19" t="s">
        <v>54</v>
      </c>
      <c r="B35" s="32">
        <v>1000</v>
      </c>
      <c r="C35" s="23"/>
      <c r="D35" s="22">
        <f>B35</f>
        <v>1000</v>
      </c>
      <c r="E35" s="22">
        <f>B35</f>
        <v>1000</v>
      </c>
      <c r="F35" s="22">
        <f>B35</f>
        <v>1000</v>
      </c>
    </row>
    <row r="36" spans="1:6" ht="15.75" thickBot="1" x14ac:dyDescent="0.3">
      <c r="A36" s="19"/>
      <c r="B36" s="32"/>
      <c r="C36" s="23"/>
      <c r="D36" s="32"/>
      <c r="E36" s="32"/>
      <c r="F36" s="32"/>
    </row>
    <row r="37" spans="1:6" ht="15.75" thickTop="1" x14ac:dyDescent="0.25">
      <c r="A37" s="19" t="s">
        <v>55</v>
      </c>
      <c r="B37" s="32">
        <v>100</v>
      </c>
      <c r="C37" s="23"/>
      <c r="D37" s="22">
        <f>B37*12</f>
        <v>1200</v>
      </c>
      <c r="E37" s="22">
        <f>D37</f>
        <v>1200</v>
      </c>
      <c r="F37" s="22">
        <f>D37</f>
        <v>1200</v>
      </c>
    </row>
    <row r="38" spans="1:6" x14ac:dyDescent="0.25">
      <c r="B38" s="1"/>
      <c r="C38" s="1"/>
      <c r="D38" s="1"/>
      <c r="E38" s="1"/>
      <c r="F38" s="1"/>
    </row>
    <row r="39" spans="1:6" x14ac:dyDescent="0.25">
      <c r="A39" t="s">
        <v>45</v>
      </c>
      <c r="B39" s="1">
        <v>140</v>
      </c>
      <c r="C39" s="1"/>
      <c r="D39" s="1">
        <f>B39*12</f>
        <v>1680</v>
      </c>
      <c r="E39" s="1">
        <f>D2</f>
        <v>0</v>
      </c>
      <c r="F39" s="1">
        <f>D39</f>
        <v>1680</v>
      </c>
    </row>
    <row r="40" spans="1:6" ht="15.75" thickBot="1" x14ac:dyDescent="0.3">
      <c r="A40" t="s">
        <v>46</v>
      </c>
      <c r="B40" s="1"/>
      <c r="C40" s="1"/>
      <c r="D40" s="1">
        <f t="shared" ref="D40" si="9">B40*12</f>
        <v>0</v>
      </c>
      <c r="E40" s="1">
        <f>D40</f>
        <v>0</v>
      </c>
      <c r="F40" s="1">
        <f>D40</f>
        <v>0</v>
      </c>
    </row>
    <row r="41" spans="1:6" ht="15.75" thickTop="1" x14ac:dyDescent="0.25">
      <c r="A41" s="19" t="s">
        <v>44</v>
      </c>
      <c r="B41" s="22">
        <f>SUM(B39:B40)</f>
        <v>140</v>
      </c>
      <c r="C41" s="23"/>
      <c r="D41" s="22">
        <f>SUM(D39:D40)</f>
        <v>1680</v>
      </c>
      <c r="E41" s="22">
        <f t="shared" ref="E41:F41" si="10">SUM(E39:E40)</f>
        <v>0</v>
      </c>
      <c r="F41" s="22">
        <f t="shared" si="10"/>
        <v>1680</v>
      </c>
    </row>
    <row r="42" spans="1:6" x14ac:dyDescent="0.25">
      <c r="B42" s="1"/>
      <c r="C42" s="1"/>
      <c r="D42" s="1"/>
      <c r="E42" s="1"/>
      <c r="F42" s="1"/>
    </row>
    <row r="43" spans="1:6" x14ac:dyDescent="0.25">
      <c r="B43" s="1"/>
      <c r="C43" s="1"/>
      <c r="D43" s="1"/>
      <c r="E43" s="1"/>
      <c r="F43" s="1"/>
    </row>
    <row r="44" spans="1:6" ht="15.75" thickBot="1" x14ac:dyDescent="0.3">
      <c r="B44" s="1"/>
      <c r="C44" s="1"/>
      <c r="D44" s="1"/>
      <c r="E44" s="1"/>
      <c r="F44" s="1"/>
    </row>
    <row r="45" spans="1:6" ht="15.75" thickTop="1" x14ac:dyDescent="0.25">
      <c r="A45" s="41" t="s">
        <v>47</v>
      </c>
      <c r="B45" s="42"/>
      <c r="C45" s="42"/>
      <c r="D45" s="43">
        <f>D9+D14+D19+D31+D35+D37+D41</f>
        <v>140254.88</v>
      </c>
      <c r="E45" s="43">
        <f t="shared" ref="E45:F45" si="11">E9+E14+E19+E31+E35+E37+E41</f>
        <v>193574.88</v>
      </c>
      <c r="F45" s="43">
        <f t="shared" si="11"/>
        <v>239254.88</v>
      </c>
    </row>
    <row r="46" spans="1:6" x14ac:dyDescent="0.25">
      <c r="B46" s="1"/>
      <c r="C46" s="1"/>
      <c r="D46" s="1"/>
      <c r="E46" s="1"/>
      <c r="F46" s="1"/>
    </row>
    <row r="47" spans="1:6" x14ac:dyDescent="0.25">
      <c r="B47" s="1"/>
      <c r="C47" s="1"/>
      <c r="D47" s="1"/>
      <c r="E47" s="1"/>
      <c r="F47" s="1"/>
    </row>
  </sheetData>
  <pageMargins left="0.7" right="0.7" top="0.75" bottom="0.75" header="0.3" footer="0.3"/>
  <pageSetup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C2" sqref="C2"/>
    </sheetView>
  </sheetViews>
  <sheetFormatPr defaultRowHeight="15" x14ac:dyDescent="0.25"/>
  <cols>
    <col min="1" max="1" width="38.85546875" bestFit="1" customWidth="1"/>
    <col min="2" max="2" width="12.5703125" bestFit="1" customWidth="1"/>
    <col min="3" max="6" width="11.5703125" bestFit="1" customWidth="1"/>
  </cols>
  <sheetData>
    <row r="1" spans="1:7" x14ac:dyDescent="0.25">
      <c r="A1" s="6"/>
      <c r="D1" t="s">
        <v>16</v>
      </c>
      <c r="E1" t="s">
        <v>17</v>
      </c>
      <c r="F1" t="s">
        <v>18</v>
      </c>
      <c r="G1" t="s">
        <v>37</v>
      </c>
    </row>
    <row r="2" spans="1:7" x14ac:dyDescent="0.25">
      <c r="A2" s="3"/>
      <c r="B2" t="s">
        <v>0</v>
      </c>
      <c r="C2" t="s">
        <v>74</v>
      </c>
    </row>
    <row r="3" spans="1:7" x14ac:dyDescent="0.25">
      <c r="A3" s="26" t="s">
        <v>49</v>
      </c>
    </row>
    <row r="4" spans="1:7" x14ac:dyDescent="0.25">
      <c r="A4" t="s">
        <v>5</v>
      </c>
      <c r="B4" s="5">
        <v>0.124</v>
      </c>
      <c r="C4" s="7">
        <v>97500</v>
      </c>
    </row>
    <row r="5" spans="1:7" x14ac:dyDescent="0.25">
      <c r="A5" s="20" t="s">
        <v>2</v>
      </c>
      <c r="B5" s="48">
        <v>2.9000000000000001E-2</v>
      </c>
    </row>
    <row r="6" spans="1:7" x14ac:dyDescent="0.25">
      <c r="A6" s="39" t="s">
        <v>50</v>
      </c>
      <c r="B6" s="46">
        <v>0.153</v>
      </c>
      <c r="C6" s="39"/>
      <c r="D6" s="47">
        <f>'Business Expense'!D9*'SE Tax'!$B$6</f>
        <v>19329.236639999999</v>
      </c>
      <c r="E6" s="47">
        <f>'Business Expense'!E9*'SE Tax'!$B$6</f>
        <v>27744.236639999999</v>
      </c>
      <c r="F6" s="47">
        <f>'Business Expense'!F9*'SE Tax'!$B$6</f>
        <v>34476.236640000003</v>
      </c>
    </row>
    <row r="7" spans="1:7" x14ac:dyDescent="0.25">
      <c r="B7" s="1"/>
    </row>
    <row r="11" spans="1:7" x14ac:dyDescent="0.25">
      <c r="D11" s="2">
        <f>'Business Expense'!D9*B4</f>
        <v>15665.52512</v>
      </c>
    </row>
    <row r="12" spans="1:7" x14ac:dyDescent="0.25">
      <c r="B12" s="2"/>
    </row>
    <row r="15" spans="1:7" x14ac:dyDescent="0.25">
      <c r="A15" t="s">
        <v>77</v>
      </c>
      <c r="B15" s="2">
        <f>'Business Expense'!D9</f>
        <v>126334.88</v>
      </c>
    </row>
    <row r="16" spans="1:7" x14ac:dyDescent="0.25">
      <c r="A16" t="s">
        <v>75</v>
      </c>
      <c r="B16" s="49">
        <v>0.92349999999999999</v>
      </c>
    </row>
    <row r="17" spans="1:2" x14ac:dyDescent="0.25">
      <c r="A17" t="s">
        <v>76</v>
      </c>
      <c r="B17" s="2">
        <f>B15*Net_Earning_Factor</f>
        <v>116670.26168</v>
      </c>
    </row>
    <row r="19" spans="1:2" x14ac:dyDescent="0.25">
      <c r="A19" t="s">
        <v>79</v>
      </c>
      <c r="B19" s="2">
        <f>B17-C4</f>
        <v>19170.261679999996</v>
      </c>
    </row>
    <row r="20" spans="1:2" x14ac:dyDescent="0.25">
      <c r="A20" t="s">
        <v>78</v>
      </c>
      <c r="B20" s="50">
        <f>C4*B6</f>
        <v>14917.5</v>
      </c>
    </row>
    <row r="21" spans="1:2" x14ac:dyDescent="0.25">
      <c r="A21" t="s">
        <v>80</v>
      </c>
      <c r="B21" s="2">
        <f>B19*B5</f>
        <v>555.93758871999989</v>
      </c>
    </row>
    <row r="22" spans="1:2" x14ac:dyDescent="0.25">
      <c r="A22" t="s">
        <v>50</v>
      </c>
      <c r="B22" s="50">
        <f>SUM(B20:B21)</f>
        <v>15473.43758872</v>
      </c>
    </row>
  </sheetData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C22" sqref="C22"/>
    </sheetView>
  </sheetViews>
  <sheetFormatPr defaultRowHeight="15" x14ac:dyDescent="0.25"/>
  <cols>
    <col min="1" max="1" width="25.5703125" bestFit="1" customWidth="1"/>
    <col min="3" max="7" width="13.42578125" bestFit="1" customWidth="1"/>
  </cols>
  <sheetData>
    <row r="1" spans="1:7" x14ac:dyDescent="0.25">
      <c r="C1" s="6" t="s">
        <v>59</v>
      </c>
      <c r="D1" s="6" t="s">
        <v>60</v>
      </c>
      <c r="E1" s="6" t="s">
        <v>61</v>
      </c>
      <c r="F1" s="6" t="s">
        <v>62</v>
      </c>
      <c r="G1" s="6" t="s">
        <v>63</v>
      </c>
    </row>
    <row r="2" spans="1:7" x14ac:dyDescent="0.25">
      <c r="A2" t="s">
        <v>66</v>
      </c>
      <c r="B2" s="4">
        <v>1.05</v>
      </c>
    </row>
    <row r="3" spans="1:7" x14ac:dyDescent="0.25">
      <c r="A3" t="s">
        <v>73</v>
      </c>
      <c r="B3" s="4"/>
      <c r="C3" s="2">
        <f>'Billing Rate'!E14</f>
        <v>2055.6624424778761</v>
      </c>
      <c r="D3" s="2">
        <f t="shared" ref="D3:G4" si="0">C3*Inflation_Rate_Adjustement</f>
        <v>2158.44556460177</v>
      </c>
      <c r="E3" s="2">
        <f t="shared" si="0"/>
        <v>2266.3678428318585</v>
      </c>
      <c r="F3" s="2">
        <f t="shared" si="0"/>
        <v>2379.6862349734515</v>
      </c>
      <c r="G3" s="2">
        <f t="shared" si="0"/>
        <v>2498.6705467221241</v>
      </c>
    </row>
    <row r="4" spans="1:7" x14ac:dyDescent="0.25">
      <c r="A4" s="36" t="s">
        <v>57</v>
      </c>
      <c r="B4" s="37"/>
      <c r="C4" s="10">
        <f>'Billing Rate'!E17</f>
        <v>493358.98619469028</v>
      </c>
      <c r="D4" s="10">
        <f t="shared" si="0"/>
        <v>518026.93550442479</v>
      </c>
      <c r="E4" s="10">
        <f t="shared" si="0"/>
        <v>543928.28227964602</v>
      </c>
      <c r="F4" s="10">
        <f t="shared" si="0"/>
        <v>571124.69639362837</v>
      </c>
      <c r="G4" s="10">
        <f t="shared" si="0"/>
        <v>599680.93121330987</v>
      </c>
    </row>
    <row r="7" spans="1:7" x14ac:dyDescent="0.25">
      <c r="A7" s="6" t="s">
        <v>58</v>
      </c>
    </row>
    <row r="8" spans="1:7" x14ac:dyDescent="0.25">
      <c r="A8" t="s">
        <v>39</v>
      </c>
      <c r="C8" s="2">
        <f>'Business Expense'!E9</f>
        <v>181334.88</v>
      </c>
      <c r="D8" s="2">
        <f t="shared" ref="D8:G12" si="1">C8*Inflation_Rate_Adjustement</f>
        <v>190401.62400000001</v>
      </c>
      <c r="E8" s="2">
        <f t="shared" si="1"/>
        <v>199921.70520000003</v>
      </c>
      <c r="F8" s="2">
        <f t="shared" si="1"/>
        <v>209917.79046000005</v>
      </c>
      <c r="G8" s="2">
        <f t="shared" si="1"/>
        <v>220413.67998300007</v>
      </c>
    </row>
    <row r="9" spans="1:7" x14ac:dyDescent="0.25">
      <c r="A9" t="s">
        <v>64</v>
      </c>
      <c r="C9" s="2">
        <f>'Billing Rate'!E6</f>
        <v>27744.236639999999</v>
      </c>
      <c r="D9" s="2">
        <f t="shared" si="1"/>
        <v>29131.448472</v>
      </c>
      <c r="E9" s="2">
        <f t="shared" si="1"/>
        <v>30588.020895600002</v>
      </c>
      <c r="F9" s="2">
        <f t="shared" si="1"/>
        <v>32117.421940380005</v>
      </c>
      <c r="G9" s="2">
        <f t="shared" si="1"/>
        <v>33723.293037399009</v>
      </c>
    </row>
    <row r="10" spans="1:7" x14ac:dyDescent="0.25">
      <c r="A10" t="s">
        <v>65</v>
      </c>
      <c r="C10" s="2">
        <f>'Business Expense'!E33</f>
        <v>11480</v>
      </c>
      <c r="D10" s="2">
        <f t="shared" si="1"/>
        <v>12054</v>
      </c>
      <c r="E10" s="2">
        <f t="shared" si="1"/>
        <v>12656.7</v>
      </c>
      <c r="F10" s="2">
        <f t="shared" si="1"/>
        <v>13289.535000000002</v>
      </c>
      <c r="G10" s="2">
        <f t="shared" si="1"/>
        <v>13954.011750000001</v>
      </c>
    </row>
    <row r="11" spans="1:7" x14ac:dyDescent="0.25">
      <c r="A11" t="s">
        <v>13</v>
      </c>
      <c r="C11" s="2">
        <f>'Business Expense'!D37</f>
        <v>1200</v>
      </c>
      <c r="D11" s="2">
        <f t="shared" si="1"/>
        <v>1260</v>
      </c>
      <c r="E11" s="2">
        <f t="shared" si="1"/>
        <v>1323</v>
      </c>
      <c r="F11" s="2">
        <f t="shared" si="1"/>
        <v>1389.15</v>
      </c>
      <c r="G11" s="2">
        <f t="shared" si="1"/>
        <v>1458.6075000000001</v>
      </c>
    </row>
    <row r="12" spans="1:7" ht="15.75" thickBot="1" x14ac:dyDescent="0.3">
      <c r="A12" t="s">
        <v>14</v>
      </c>
      <c r="C12" s="2">
        <f>'Business Expense'!D35</f>
        <v>1000</v>
      </c>
      <c r="D12" s="2">
        <f t="shared" si="1"/>
        <v>1050</v>
      </c>
      <c r="E12" s="2">
        <f t="shared" si="1"/>
        <v>1102.5</v>
      </c>
      <c r="F12" s="2">
        <f t="shared" si="1"/>
        <v>1157.625</v>
      </c>
      <c r="G12" s="2">
        <f t="shared" si="1"/>
        <v>1215.5062500000001</v>
      </c>
    </row>
    <row r="13" spans="1:7" ht="15.75" thickTop="1" x14ac:dyDescent="0.25">
      <c r="A13" s="38" t="s">
        <v>67</v>
      </c>
      <c r="B13" s="39"/>
      <c r="C13" s="40">
        <f>SUM(C8:C12)</f>
        <v>222759.11663999999</v>
      </c>
      <c r="D13" s="40">
        <f t="shared" ref="D13:G13" si="2">SUM(D8:D12)</f>
        <v>233897.072472</v>
      </c>
      <c r="E13" s="40">
        <f t="shared" si="2"/>
        <v>245591.92609560004</v>
      </c>
      <c r="F13" s="40">
        <f t="shared" si="2"/>
        <v>257871.52240038005</v>
      </c>
      <c r="G13" s="40">
        <f t="shared" si="2"/>
        <v>270765.09852039901</v>
      </c>
    </row>
    <row r="16" spans="1:7" x14ac:dyDescent="0.25">
      <c r="A16" s="6" t="s">
        <v>71</v>
      </c>
      <c r="C16" s="2">
        <f>C4-C13</f>
        <v>270599.86955469032</v>
      </c>
      <c r="D16" s="2">
        <f t="shared" ref="D16:G16" si="3">D4-D13</f>
        <v>284129.86303242482</v>
      </c>
      <c r="E16" s="2">
        <f t="shared" si="3"/>
        <v>298336.35618404602</v>
      </c>
      <c r="F16" s="2">
        <f t="shared" si="3"/>
        <v>313253.17399324832</v>
      </c>
      <c r="G16" s="2">
        <f t="shared" si="3"/>
        <v>328915.83269291086</v>
      </c>
    </row>
    <row r="17" spans="1:7" ht="15.75" thickBot="1" x14ac:dyDescent="0.3">
      <c r="A17" t="s">
        <v>69</v>
      </c>
      <c r="B17" s="4">
        <v>0.4</v>
      </c>
      <c r="C17" s="2">
        <f>C16*Estimated_Income_Tax</f>
        <v>108239.94782187614</v>
      </c>
      <c r="D17" s="2">
        <f>D16*Estimated_Income_Tax</f>
        <v>113651.94521296993</v>
      </c>
      <c r="E17" s="2">
        <f>E16*Estimated_Income_Tax</f>
        <v>119334.54247361841</v>
      </c>
      <c r="F17" s="2">
        <f>F16*Estimated_Income_Tax</f>
        <v>125301.26959729934</v>
      </c>
      <c r="G17" s="2">
        <f>G16*Estimated_Income_Tax</f>
        <v>131566.33307716434</v>
      </c>
    </row>
    <row r="18" spans="1:7" ht="15.75" thickTop="1" x14ac:dyDescent="0.25">
      <c r="A18" s="19" t="s">
        <v>70</v>
      </c>
      <c r="C18" s="33">
        <f>C16-C17</f>
        <v>162359.92173281417</v>
      </c>
      <c r="D18" s="33">
        <f t="shared" ref="D18:G18" si="4">D16-D17</f>
        <v>170477.91781945489</v>
      </c>
      <c r="E18" s="33">
        <f t="shared" si="4"/>
        <v>179001.81371042761</v>
      </c>
      <c r="F18" s="33">
        <f t="shared" si="4"/>
        <v>187951.90439594898</v>
      </c>
      <c r="G18" s="33">
        <f t="shared" si="4"/>
        <v>197349.49961574652</v>
      </c>
    </row>
    <row r="20" spans="1:7" x14ac:dyDescent="0.25">
      <c r="A20" s="19" t="s">
        <v>68</v>
      </c>
      <c r="B20" s="4">
        <v>0.1</v>
      </c>
      <c r="C20" s="2">
        <f>C18*Business_Reserve</f>
        <v>16235.992173281418</v>
      </c>
      <c r="D20" s="2">
        <f>D18*Business_Reserve</f>
        <v>17047.791781945489</v>
      </c>
      <c r="E20" s="2">
        <f>E18*Business_Reserve</f>
        <v>17900.181371042763</v>
      </c>
      <c r="F20" s="2">
        <f>F18*Business_Reserve</f>
        <v>18795.190439594899</v>
      </c>
      <c r="G20" s="2">
        <f>G18*Business_Reserve</f>
        <v>19734.949961574654</v>
      </c>
    </row>
    <row r="21" spans="1:7" ht="15.75" thickBot="1" x14ac:dyDescent="0.3"/>
    <row r="22" spans="1:7" ht="15.75" thickTop="1" x14ac:dyDescent="0.25">
      <c r="A22" s="34" t="s">
        <v>72</v>
      </c>
      <c r="B22" s="12"/>
      <c r="C22" s="35">
        <f>C18-C20</f>
        <v>146123.92955953276</v>
      </c>
      <c r="D22" s="35">
        <f t="shared" ref="D22:G22" si="5">D18-D20</f>
        <v>153430.12603750941</v>
      </c>
      <c r="E22" s="35">
        <f t="shared" si="5"/>
        <v>161101.63233938484</v>
      </c>
      <c r="F22" s="35">
        <f t="shared" si="5"/>
        <v>169156.71395635407</v>
      </c>
      <c r="G22" s="35">
        <f t="shared" si="5"/>
        <v>177614.54965417186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38A11A9B-F9D2-4ECB-952E-BFACDA6ADE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15</vt:i4>
      </vt:variant>
    </vt:vector>
  </HeadingPairs>
  <TitlesOfParts>
    <vt:vector size="20" baseType="lpstr">
      <vt:lpstr>Billing Rate</vt:lpstr>
      <vt:lpstr>Billable Days</vt:lpstr>
      <vt:lpstr>Business Expense</vt:lpstr>
      <vt:lpstr>SE Tax</vt:lpstr>
      <vt:lpstr>Five Year Pro Forma</vt:lpstr>
      <vt:lpstr>Admin_Days_per_Year</vt:lpstr>
      <vt:lpstr>Available_Billable_Days</vt:lpstr>
      <vt:lpstr>Available_Work_Days</vt:lpstr>
      <vt:lpstr>Available_Work_Weeks</vt:lpstr>
      <vt:lpstr>Business_Overhead_Days_per_Year</vt:lpstr>
      <vt:lpstr>Business_Reserve</vt:lpstr>
      <vt:lpstr>Est._Billable_Days</vt:lpstr>
      <vt:lpstr>Est._Down_Time_Percentage</vt:lpstr>
      <vt:lpstr>Estimated_Income_Tax</vt:lpstr>
      <vt:lpstr>Inflation_Rate_Adjustement</vt:lpstr>
      <vt:lpstr>Marketing_Days_per_Year</vt:lpstr>
      <vt:lpstr>Net_Earning_Factor</vt:lpstr>
      <vt:lpstr>SEP_401K_Percentage</vt:lpstr>
      <vt:lpstr>Std_Workday_Hours</vt:lpstr>
      <vt:lpstr>Std_Workweek_Days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Consulting pricing worksheet - Fee/Pricing Analysis</dc:title>
  <dc:creator>Kenan Çılman</dc:creator>
  <cp:keywords/>
  <cp:lastModifiedBy>Kenan Çılman</cp:lastModifiedBy>
  <cp:lastPrinted>2007-08-07T05:40:11Z</cp:lastPrinted>
  <dcterms:created xsi:type="dcterms:W3CDTF">2014-10-25T21:17:07Z</dcterms:created>
  <dcterms:modified xsi:type="dcterms:W3CDTF">2014-10-25T21:17:07Z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TC103610339990</vt:lpwstr>
  </property>
</Properties>
</file>