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bb37eda686e76e/BİLGİSAYARIM/Udemy Mali Tabloların Okunması^J Analizi^J Analitiği ve Yorumlanması/Eğitim Dokumanları/"/>
    </mc:Choice>
  </mc:AlternateContent>
  <xr:revisionPtr revIDLastSave="1070" documentId="8_{FF89E08B-0C85-4FA1-A237-9D2D4FF32CDB}" xr6:coauthVersionLast="47" xr6:coauthVersionMax="47" xr10:uidLastSave="{11B08992-186A-4BEE-8971-99AF2451847A}"/>
  <bookViews>
    <workbookView xWindow="-120" yWindow="-120" windowWidth="29040" windowHeight="15840" xr2:uid="{E7F01938-1644-454E-8BF6-933DAE409753}"/>
  </bookViews>
  <sheets>
    <sheet name="B_GT" sheetId="1" r:id="rId1"/>
    <sheet name="Özet B_GT" sheetId="2" r:id="rId2"/>
    <sheet name="Projeksiyon" sheetId="4" r:id="rId3"/>
    <sheet name="1. Faiz Geliri" sheetId="5" r:id="rId4"/>
    <sheet name="2. Finansal Borç Ödemesi" sheetId="6" r:id="rId5"/>
    <sheet name="3. Ticari Borç Ödemeleri" sheetId="7" r:id="rId6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1" i="2" l="1"/>
  <c r="F29" i="2"/>
  <c r="F28" i="2"/>
  <c r="F27" i="2"/>
  <c r="F26" i="2"/>
  <c r="F142" i="1"/>
  <c r="F141" i="1"/>
  <c r="F140" i="1"/>
  <c r="F136" i="1"/>
  <c r="F135" i="1"/>
  <c r="F134" i="1"/>
  <c r="F19" i="7" l="1"/>
  <c r="F18" i="7"/>
  <c r="G18" i="7" s="1"/>
  <c r="H18" i="7" s="1"/>
  <c r="I18" i="7" s="1"/>
  <c r="J18" i="7" s="1"/>
  <c r="K18" i="7" s="1"/>
  <c r="G17" i="7"/>
  <c r="K17" i="7"/>
  <c r="J17" i="7"/>
  <c r="I17" i="7"/>
  <c r="H17" i="7"/>
  <c r="F33" i="7"/>
  <c r="E33" i="7"/>
  <c r="F31" i="7"/>
  <c r="E31" i="7"/>
  <c r="F29" i="7"/>
  <c r="E29" i="7"/>
  <c r="F27" i="7"/>
  <c r="E27" i="7"/>
  <c r="F26" i="7"/>
  <c r="E26" i="7"/>
  <c r="F20" i="7"/>
  <c r="E20" i="7"/>
  <c r="E19" i="7"/>
  <c r="E18" i="7"/>
  <c r="H16" i="7"/>
  <c r="I16" i="7" s="1"/>
  <c r="F16" i="7"/>
  <c r="E16" i="7"/>
  <c r="F12" i="7"/>
  <c r="G12" i="7" s="1"/>
  <c r="H12" i="7" s="1"/>
  <c r="I12" i="7" s="1"/>
  <c r="J12" i="7" s="1"/>
  <c r="K12" i="7" s="1"/>
  <c r="E12" i="7"/>
  <c r="F10" i="7"/>
  <c r="E10" i="7"/>
  <c r="F9" i="7"/>
  <c r="E9" i="7"/>
  <c r="F7" i="7"/>
  <c r="E7" i="7"/>
  <c r="F6" i="7"/>
  <c r="E6" i="7"/>
  <c r="F5" i="7"/>
  <c r="E5" i="7"/>
  <c r="F4" i="7"/>
  <c r="E4" i="7"/>
  <c r="F16" i="6"/>
  <c r="F33" i="6"/>
  <c r="E33" i="6"/>
  <c r="F31" i="6"/>
  <c r="E31" i="6"/>
  <c r="F29" i="6"/>
  <c r="E29" i="6"/>
  <c r="F27" i="6"/>
  <c r="F28" i="6" s="1"/>
  <c r="G28" i="6" s="1"/>
  <c r="H28" i="6" s="1"/>
  <c r="I28" i="6" s="1"/>
  <c r="J28" i="6" s="1"/>
  <c r="K28" i="6" s="1"/>
  <c r="E27" i="6"/>
  <c r="F26" i="6"/>
  <c r="E26" i="6"/>
  <c r="F20" i="6"/>
  <c r="E20" i="6"/>
  <c r="F19" i="6"/>
  <c r="F21" i="6" s="1"/>
  <c r="G21" i="6" s="1"/>
  <c r="E19" i="6"/>
  <c r="F18" i="6"/>
  <c r="G18" i="6" s="1"/>
  <c r="H18" i="6" s="1"/>
  <c r="I18" i="6" s="1"/>
  <c r="J18" i="6" s="1"/>
  <c r="K18" i="6" s="1"/>
  <c r="E18" i="6"/>
  <c r="F17" i="6"/>
  <c r="E17" i="6"/>
  <c r="E16" i="6"/>
  <c r="F12" i="6"/>
  <c r="G12" i="6" s="1"/>
  <c r="H12" i="6" s="1"/>
  <c r="I12" i="6" s="1"/>
  <c r="J12" i="6" s="1"/>
  <c r="K12" i="6" s="1"/>
  <c r="E12" i="6"/>
  <c r="F10" i="6"/>
  <c r="E10" i="6"/>
  <c r="F9" i="6"/>
  <c r="E9" i="6"/>
  <c r="F7" i="6"/>
  <c r="E7" i="6"/>
  <c r="E8" i="6" s="1"/>
  <c r="F6" i="6"/>
  <c r="E6" i="6"/>
  <c r="F5" i="6"/>
  <c r="E5" i="6"/>
  <c r="F4" i="6"/>
  <c r="E4" i="6"/>
  <c r="F12" i="5"/>
  <c r="G12" i="5" s="1"/>
  <c r="H12" i="5" s="1"/>
  <c r="I12" i="5" s="1"/>
  <c r="J12" i="5" s="1"/>
  <c r="K12" i="5" s="1"/>
  <c r="F10" i="5"/>
  <c r="F9" i="5"/>
  <c r="F7" i="5"/>
  <c r="F6" i="5"/>
  <c r="F5" i="5"/>
  <c r="F4" i="5"/>
  <c r="F33" i="5"/>
  <c r="E33" i="5"/>
  <c r="F31" i="5"/>
  <c r="E31" i="5"/>
  <c r="F29" i="5"/>
  <c r="E29" i="5"/>
  <c r="F27" i="5"/>
  <c r="E27" i="5"/>
  <c r="F26" i="5"/>
  <c r="G26" i="5" s="1"/>
  <c r="E26" i="5"/>
  <c r="F20" i="5"/>
  <c r="E20" i="5"/>
  <c r="F19" i="5"/>
  <c r="E19" i="5"/>
  <c r="F18" i="5"/>
  <c r="G18" i="5" s="1"/>
  <c r="H18" i="5" s="1"/>
  <c r="I18" i="5" s="1"/>
  <c r="J18" i="5" s="1"/>
  <c r="K18" i="5" s="1"/>
  <c r="E18" i="5"/>
  <c r="F17" i="5"/>
  <c r="E17" i="5"/>
  <c r="F16" i="5"/>
  <c r="G16" i="5" s="1"/>
  <c r="E16" i="5"/>
  <c r="E12" i="5"/>
  <c r="E10" i="5"/>
  <c r="E9" i="5"/>
  <c r="E7" i="5"/>
  <c r="E6" i="5"/>
  <c r="E5" i="5"/>
  <c r="E4" i="5"/>
  <c r="F33" i="4"/>
  <c r="F20" i="4"/>
  <c r="F19" i="4"/>
  <c r="F18" i="4"/>
  <c r="G18" i="4" s="1"/>
  <c r="H18" i="4" s="1"/>
  <c r="I18" i="4" s="1"/>
  <c r="J18" i="4" s="1"/>
  <c r="K18" i="4" s="1"/>
  <c r="F17" i="4"/>
  <c r="F16" i="4"/>
  <c r="G16" i="4" s="1"/>
  <c r="H16" i="4" s="1"/>
  <c r="I16" i="4" s="1"/>
  <c r="J16" i="4" s="1"/>
  <c r="K16" i="4" s="1"/>
  <c r="E10" i="4"/>
  <c r="E9" i="4"/>
  <c r="F31" i="4"/>
  <c r="F32" i="4" s="1"/>
  <c r="G32" i="4" s="1"/>
  <c r="H32" i="4" s="1"/>
  <c r="I32" i="4" s="1"/>
  <c r="J32" i="4" s="1"/>
  <c r="K32" i="4" s="1"/>
  <c r="F29" i="4"/>
  <c r="F30" i="4" s="1"/>
  <c r="F27" i="4"/>
  <c r="F28" i="4" s="1"/>
  <c r="F26" i="4"/>
  <c r="G26" i="4" s="1"/>
  <c r="E33" i="4"/>
  <c r="E31" i="4"/>
  <c r="E29" i="4"/>
  <c r="E27" i="4"/>
  <c r="E26" i="4"/>
  <c r="E20" i="4"/>
  <c r="E19" i="4"/>
  <c r="E18" i="4"/>
  <c r="E17" i="4"/>
  <c r="E16" i="4"/>
  <c r="F12" i="4"/>
  <c r="G12" i="4" s="1"/>
  <c r="H12" i="4" s="1"/>
  <c r="I12" i="4" s="1"/>
  <c r="J12" i="4" s="1"/>
  <c r="K12" i="4" s="1"/>
  <c r="E12" i="4"/>
  <c r="F10" i="4"/>
  <c r="F9" i="4"/>
  <c r="F7" i="4"/>
  <c r="E7" i="4"/>
  <c r="F6" i="4"/>
  <c r="E6" i="4"/>
  <c r="F5" i="4"/>
  <c r="G5" i="4" s="1"/>
  <c r="E5" i="4"/>
  <c r="F4" i="4"/>
  <c r="E4" i="4"/>
  <c r="E6" i="2"/>
  <c r="E5" i="2"/>
  <c r="E4" i="2"/>
  <c r="E28" i="2"/>
  <c r="E27" i="2"/>
  <c r="E26" i="2"/>
  <c r="F25" i="2"/>
  <c r="E25" i="2"/>
  <c r="E24" i="2"/>
  <c r="F24" i="2"/>
  <c r="F20" i="2"/>
  <c r="E20" i="2"/>
  <c r="F9" i="2"/>
  <c r="E9" i="2"/>
  <c r="F18" i="2"/>
  <c r="E18" i="2"/>
  <c r="F12" i="2"/>
  <c r="E12" i="2"/>
  <c r="F17" i="2"/>
  <c r="F16" i="2"/>
  <c r="F19" i="2"/>
  <c r="E19" i="2"/>
  <c r="F10" i="2"/>
  <c r="E10" i="2"/>
  <c r="M12" i="1"/>
  <c r="E17" i="2"/>
  <c r="E16" i="2"/>
  <c r="E130" i="1"/>
  <c r="F7" i="2"/>
  <c r="F8" i="2" s="1"/>
  <c r="E7" i="2"/>
  <c r="F6" i="2"/>
  <c r="F5" i="2"/>
  <c r="E128" i="1"/>
  <c r="E129" i="1"/>
  <c r="F4" i="2"/>
  <c r="F46" i="7" l="1"/>
  <c r="E28" i="4"/>
  <c r="F34" i="4"/>
  <c r="E15" i="6"/>
  <c r="F21" i="4"/>
  <c r="E8" i="7"/>
  <c r="F44" i="7"/>
  <c r="G10" i="4"/>
  <c r="E30" i="4"/>
  <c r="F8" i="5"/>
  <c r="E32" i="4"/>
  <c r="G9" i="4"/>
  <c r="H9" i="4" s="1"/>
  <c r="I9" i="4" s="1"/>
  <c r="J9" i="4" s="1"/>
  <c r="K9" i="4" s="1"/>
  <c r="E36" i="5"/>
  <c r="E8" i="2"/>
  <c r="F8" i="4"/>
  <c r="G8" i="4" s="1"/>
  <c r="H8" i="4" s="1"/>
  <c r="H7" i="4" s="1"/>
  <c r="E21" i="5"/>
  <c r="E30" i="6"/>
  <c r="F32" i="7"/>
  <c r="G32" i="7" s="1"/>
  <c r="H32" i="7" s="1"/>
  <c r="I32" i="7" s="1"/>
  <c r="J32" i="7" s="1"/>
  <c r="K32" i="7" s="1"/>
  <c r="F8" i="7"/>
  <c r="G8" i="7" s="1"/>
  <c r="G9" i="7"/>
  <c r="H9" i="7" s="1"/>
  <c r="I9" i="7" s="1"/>
  <c r="J9" i="7" s="1"/>
  <c r="K9" i="7" s="1"/>
  <c r="E28" i="7"/>
  <c r="F36" i="7"/>
  <c r="E21" i="7"/>
  <c r="E30" i="7"/>
  <c r="F21" i="7"/>
  <c r="G21" i="7" s="1"/>
  <c r="F30" i="7"/>
  <c r="G30" i="7" s="1"/>
  <c r="H30" i="7" s="1"/>
  <c r="I30" i="7" s="1"/>
  <c r="J30" i="7" s="1"/>
  <c r="K30" i="7" s="1"/>
  <c r="F28" i="7"/>
  <c r="G28" i="7" s="1"/>
  <c r="H28" i="7" s="1"/>
  <c r="I28" i="7" s="1"/>
  <c r="J28" i="7" s="1"/>
  <c r="K28" i="7" s="1"/>
  <c r="F45" i="7"/>
  <c r="F30" i="6"/>
  <c r="G30" i="6" s="1"/>
  <c r="H26" i="4"/>
  <c r="E35" i="4"/>
  <c r="F35" i="4"/>
  <c r="F37" i="4" s="1"/>
  <c r="F36" i="5"/>
  <c r="G26" i="6"/>
  <c r="H26" i="6" s="1"/>
  <c r="H10" i="6" s="1"/>
  <c r="E32" i="6"/>
  <c r="E15" i="7"/>
  <c r="F34" i="7"/>
  <c r="G34" i="7" s="1"/>
  <c r="G33" i="7" s="1"/>
  <c r="E29" i="2"/>
  <c r="E31" i="2" s="1"/>
  <c r="E28" i="6"/>
  <c r="F32" i="6"/>
  <c r="G32" i="6" s="1"/>
  <c r="H32" i="6" s="1"/>
  <c r="I32" i="6" s="1"/>
  <c r="J32" i="6" s="1"/>
  <c r="K32" i="6" s="1"/>
  <c r="F15" i="7"/>
  <c r="E21" i="6"/>
  <c r="G28" i="4"/>
  <c r="G27" i="4" s="1"/>
  <c r="E36" i="7"/>
  <c r="E38" i="7" s="1"/>
  <c r="G26" i="7"/>
  <c r="G5" i="7" s="1"/>
  <c r="G30" i="4"/>
  <c r="G29" i="4" s="1"/>
  <c r="E38" i="5"/>
  <c r="F8" i="6"/>
  <c r="G8" i="6" s="1"/>
  <c r="H8" i="6" s="1"/>
  <c r="E32" i="7"/>
  <c r="G31" i="4"/>
  <c r="E8" i="5"/>
  <c r="F34" i="5"/>
  <c r="G34" i="5" s="1"/>
  <c r="G33" i="5" s="1"/>
  <c r="E36" i="6"/>
  <c r="E38" i="6" s="1"/>
  <c r="H8" i="7"/>
  <c r="J16" i="7"/>
  <c r="F34" i="6"/>
  <c r="G34" i="6" s="1"/>
  <c r="H34" i="6" s="1"/>
  <c r="H16" i="6"/>
  <c r="H30" i="6"/>
  <c r="I30" i="6" s="1"/>
  <c r="J30" i="6" s="1"/>
  <c r="K30" i="6" s="1"/>
  <c r="G29" i="6"/>
  <c r="G9" i="6"/>
  <c r="H9" i="6" s="1"/>
  <c r="I9" i="6" s="1"/>
  <c r="J9" i="6" s="1"/>
  <c r="K9" i="6" s="1"/>
  <c r="F15" i="6"/>
  <c r="F36" i="6"/>
  <c r="E28" i="5"/>
  <c r="F21" i="5"/>
  <c r="G21" i="5" s="1"/>
  <c r="E15" i="5"/>
  <c r="E32" i="5"/>
  <c r="F28" i="5"/>
  <c r="G28" i="5" s="1"/>
  <c r="H28" i="5" s="1"/>
  <c r="I28" i="5" s="1"/>
  <c r="J28" i="5" s="1"/>
  <c r="K28" i="5" s="1"/>
  <c r="E30" i="5"/>
  <c r="G9" i="5"/>
  <c r="H9" i="5" s="1"/>
  <c r="I9" i="5" s="1"/>
  <c r="J9" i="5" s="1"/>
  <c r="K9" i="5" s="1"/>
  <c r="G8" i="5"/>
  <c r="H8" i="5" s="1"/>
  <c r="G5" i="5"/>
  <c r="H26" i="5"/>
  <c r="H5" i="5" s="1"/>
  <c r="H16" i="5"/>
  <c r="F32" i="5"/>
  <c r="G32" i="5" s="1"/>
  <c r="H32" i="5" s="1"/>
  <c r="I32" i="5" s="1"/>
  <c r="J32" i="5" s="1"/>
  <c r="K32" i="5" s="1"/>
  <c r="G10" i="5"/>
  <c r="F30" i="5"/>
  <c r="G30" i="5" s="1"/>
  <c r="H30" i="5" s="1"/>
  <c r="I30" i="5" s="1"/>
  <c r="J30" i="5" s="1"/>
  <c r="K30" i="5" s="1"/>
  <c r="F15" i="5"/>
  <c r="G34" i="4"/>
  <c r="H34" i="4" s="1"/>
  <c r="I34" i="4" s="1"/>
  <c r="J34" i="4" s="1"/>
  <c r="K34" i="4" s="1"/>
  <c r="K33" i="4" s="1"/>
  <c r="H5" i="4"/>
  <c r="H10" i="4"/>
  <c r="E8" i="4"/>
  <c r="E21" i="4"/>
  <c r="F15" i="4"/>
  <c r="E37" i="4"/>
  <c r="G21" i="4"/>
  <c r="E15" i="4"/>
  <c r="E21" i="2"/>
  <c r="E15" i="2"/>
  <c r="F21" i="2"/>
  <c r="F15" i="2"/>
  <c r="M4" i="1"/>
  <c r="N4" i="1" s="1"/>
  <c r="M20" i="1"/>
  <c r="N19" i="1" s="1"/>
  <c r="M19" i="1"/>
  <c r="M17" i="1"/>
  <c r="M16" i="1"/>
  <c r="M15" i="1"/>
  <c r="M14" i="1"/>
  <c r="M13" i="1"/>
  <c r="M10" i="1"/>
  <c r="M9" i="1"/>
  <c r="M5" i="1"/>
  <c r="N5" i="1" s="1"/>
  <c r="F18" i="1"/>
  <c r="E18" i="1"/>
  <c r="F130" i="1"/>
  <c r="F128" i="1"/>
  <c r="F129" i="1"/>
  <c r="M7" i="1" s="1"/>
  <c r="M6" i="1" l="1"/>
  <c r="H34" i="5"/>
  <c r="H30" i="4"/>
  <c r="I30" i="4" s="1"/>
  <c r="J30" i="4" s="1"/>
  <c r="K30" i="4" s="1"/>
  <c r="F37" i="5" a="1"/>
  <c r="F37" i="5" s="1"/>
  <c r="F38" i="5" s="1"/>
  <c r="H5" i="6"/>
  <c r="H31" i="6"/>
  <c r="I8" i="4"/>
  <c r="I7" i="4" s="1"/>
  <c r="H27" i="6"/>
  <c r="H6" i="6" s="1"/>
  <c r="G7" i="4"/>
  <c r="G7" i="6"/>
  <c r="G27" i="6"/>
  <c r="I26" i="6"/>
  <c r="I5" i="6" s="1"/>
  <c r="G10" i="6"/>
  <c r="G7" i="7"/>
  <c r="G31" i="6"/>
  <c r="G31" i="7"/>
  <c r="G44" i="7"/>
  <c r="G10" i="7"/>
  <c r="F37" i="7" a="1"/>
  <c r="F37" i="7" s="1"/>
  <c r="F38" i="7" s="1"/>
  <c r="G17" i="4"/>
  <c r="G6" i="4"/>
  <c r="M11" i="1"/>
  <c r="E11" i="2"/>
  <c r="E3" i="2" s="1"/>
  <c r="E11" i="7"/>
  <c r="E3" i="7" s="1"/>
  <c r="E11" i="4"/>
  <c r="E3" i="4" s="1"/>
  <c r="E11" i="6"/>
  <c r="E3" i="6" s="1"/>
  <c r="E11" i="5"/>
  <c r="E3" i="5" s="1"/>
  <c r="F11" i="2"/>
  <c r="F3" i="2" s="1"/>
  <c r="F11" i="7"/>
  <c r="F11" i="5"/>
  <c r="F11" i="4"/>
  <c r="F11" i="6"/>
  <c r="G27" i="7"/>
  <c r="G29" i="7"/>
  <c r="H34" i="7"/>
  <c r="H33" i="7" s="1"/>
  <c r="H26" i="7"/>
  <c r="G5" i="6"/>
  <c r="H28" i="4"/>
  <c r="I26" i="4"/>
  <c r="H31" i="4"/>
  <c r="K16" i="7"/>
  <c r="I8" i="7"/>
  <c r="H7" i="7"/>
  <c r="G33" i="6"/>
  <c r="H29" i="6"/>
  <c r="I16" i="6"/>
  <c r="F37" i="6" a="1"/>
  <c r="F37" i="6" s="1"/>
  <c r="F38" i="6" s="1"/>
  <c r="I8" i="6"/>
  <c r="H7" i="6"/>
  <c r="I34" i="6"/>
  <c r="H33" i="6"/>
  <c r="H10" i="5"/>
  <c r="G27" i="5"/>
  <c r="G6" i="5" s="1"/>
  <c r="G7" i="5"/>
  <c r="H33" i="5"/>
  <c r="I34" i="5"/>
  <c r="I16" i="5"/>
  <c r="G31" i="5"/>
  <c r="H27" i="5"/>
  <c r="H29" i="5"/>
  <c r="H31" i="5"/>
  <c r="I26" i="5"/>
  <c r="G29" i="5"/>
  <c r="I8" i="5"/>
  <c r="H7" i="5"/>
  <c r="G33" i="4"/>
  <c r="I33" i="4"/>
  <c r="J33" i="4"/>
  <c r="H33" i="4"/>
  <c r="N18" i="1"/>
  <c r="N20" i="1" s="1"/>
  <c r="N21" i="1" s="1"/>
  <c r="M21" i="1"/>
  <c r="M8" i="1"/>
  <c r="F145" i="1" l="1"/>
  <c r="J8" i="4"/>
  <c r="H29" i="4"/>
  <c r="J26" i="6"/>
  <c r="J5" i="6" s="1"/>
  <c r="G6" i="6"/>
  <c r="G17" i="6"/>
  <c r="I10" i="6"/>
  <c r="G46" i="7"/>
  <c r="I31" i="6"/>
  <c r="I29" i="6"/>
  <c r="I27" i="6"/>
  <c r="I6" i="6" s="1"/>
  <c r="G17" i="5"/>
  <c r="H29" i="7"/>
  <c r="I34" i="7"/>
  <c r="J34" i="7" s="1"/>
  <c r="H31" i="7"/>
  <c r="H10" i="7"/>
  <c r="I28" i="4"/>
  <c r="J28" i="4" s="1"/>
  <c r="K28" i="4" s="1"/>
  <c r="H27" i="4"/>
  <c r="G11" i="6"/>
  <c r="H11" i="6" s="1"/>
  <c r="I11" i="6" s="1"/>
  <c r="J11" i="6" s="1"/>
  <c r="K11" i="6" s="1"/>
  <c r="F3" i="6"/>
  <c r="J26" i="4"/>
  <c r="I27" i="4"/>
  <c r="I10" i="4"/>
  <c r="I29" i="4"/>
  <c r="I5" i="4"/>
  <c r="I31" i="4"/>
  <c r="H5" i="7"/>
  <c r="H44" i="7" s="1"/>
  <c r="G11" i="4"/>
  <c r="H11" i="4" s="1"/>
  <c r="I11" i="4" s="1"/>
  <c r="J11" i="4" s="1"/>
  <c r="K11" i="4" s="1"/>
  <c r="F3" i="4"/>
  <c r="G11" i="5"/>
  <c r="H11" i="5" s="1"/>
  <c r="I11" i="5" s="1"/>
  <c r="J11" i="5" s="1"/>
  <c r="K11" i="5" s="1"/>
  <c r="F3" i="5"/>
  <c r="G11" i="7"/>
  <c r="H11" i="7" s="1"/>
  <c r="I11" i="7" s="1"/>
  <c r="J11" i="7" s="1"/>
  <c r="K11" i="7" s="1"/>
  <c r="F3" i="7"/>
  <c r="H27" i="7"/>
  <c r="H46" i="7" s="1"/>
  <c r="G6" i="7"/>
  <c r="G45" i="7" s="1"/>
  <c r="I26" i="7"/>
  <c r="J8" i="7"/>
  <c r="I7" i="7"/>
  <c r="J34" i="6"/>
  <c r="I33" i="6"/>
  <c r="H17" i="6"/>
  <c r="J16" i="6"/>
  <c r="J8" i="6"/>
  <c r="I7" i="6"/>
  <c r="H6" i="5"/>
  <c r="H17" i="5"/>
  <c r="J16" i="5"/>
  <c r="J8" i="5"/>
  <c r="I7" i="5"/>
  <c r="I29" i="5"/>
  <c r="I31" i="5"/>
  <c r="J26" i="5"/>
  <c r="I5" i="5"/>
  <c r="I27" i="5"/>
  <c r="I10" i="5"/>
  <c r="I33" i="5"/>
  <c r="J34" i="5"/>
  <c r="G35" i="4"/>
  <c r="G37" i="4" s="1"/>
  <c r="G20" i="4" s="1"/>
  <c r="G19" i="4" s="1"/>
  <c r="K8" i="4"/>
  <c r="K7" i="4" s="1"/>
  <c r="J7" i="4"/>
  <c r="M18" i="1"/>
  <c r="F146" i="1"/>
  <c r="F144" i="1"/>
  <c r="J10" i="6" l="1"/>
  <c r="J27" i="6"/>
  <c r="J29" i="6"/>
  <c r="J17" i="6" s="1"/>
  <c r="I17" i="6"/>
  <c r="K26" i="6"/>
  <c r="K31" i="6" s="1"/>
  <c r="J31" i="6"/>
  <c r="I31" i="7"/>
  <c r="I33" i="7"/>
  <c r="I27" i="7"/>
  <c r="H6" i="7"/>
  <c r="H45" i="7" s="1"/>
  <c r="I5" i="7"/>
  <c r="I44" i="7" s="1"/>
  <c r="I17" i="4"/>
  <c r="I6" i="4"/>
  <c r="K26" i="4"/>
  <c r="J5" i="4"/>
  <c r="J10" i="4"/>
  <c r="J27" i="4"/>
  <c r="J31" i="4"/>
  <c r="J29" i="4"/>
  <c r="I10" i="7"/>
  <c r="I35" i="4"/>
  <c r="I37" i="4" s="1"/>
  <c r="I20" i="4" s="1"/>
  <c r="J26" i="7"/>
  <c r="H17" i="4"/>
  <c r="H6" i="4"/>
  <c r="H35" i="4"/>
  <c r="H37" i="4" s="1"/>
  <c r="H20" i="4" s="1"/>
  <c r="I29" i="7"/>
  <c r="J33" i="7"/>
  <c r="K34" i="7"/>
  <c r="K33" i="7" s="1"/>
  <c r="I6" i="7"/>
  <c r="K8" i="7"/>
  <c r="K7" i="7" s="1"/>
  <c r="J7" i="7"/>
  <c r="K29" i="6"/>
  <c r="K27" i="6"/>
  <c r="K8" i="6"/>
  <c r="K7" i="6" s="1"/>
  <c r="J7" i="6"/>
  <c r="K16" i="6"/>
  <c r="J6" i="6"/>
  <c r="J33" i="6"/>
  <c r="K34" i="6"/>
  <c r="K8" i="5"/>
  <c r="K7" i="5" s="1"/>
  <c r="J7" i="5"/>
  <c r="I17" i="5"/>
  <c r="I6" i="5"/>
  <c r="K16" i="5"/>
  <c r="J29" i="5"/>
  <c r="J31" i="5"/>
  <c r="K26" i="5"/>
  <c r="J27" i="5"/>
  <c r="J5" i="5"/>
  <c r="J10" i="5"/>
  <c r="K34" i="5"/>
  <c r="J33" i="5"/>
  <c r="G15" i="4"/>
  <c r="G4" i="4" s="1"/>
  <c r="G3" i="4" s="1"/>
  <c r="H21" i="4"/>
  <c r="H19" i="4" s="1"/>
  <c r="I21" i="4" s="1"/>
  <c r="K10" i="6" l="1"/>
  <c r="I19" i="4"/>
  <c r="K5" i="6"/>
  <c r="I46" i="7"/>
  <c r="K33" i="5"/>
  <c r="J31" i="7"/>
  <c r="J5" i="7"/>
  <c r="J44" i="7" s="1"/>
  <c r="J27" i="7"/>
  <c r="K26" i="7"/>
  <c r="I45" i="7"/>
  <c r="J6" i="4"/>
  <c r="J35" i="4"/>
  <c r="J37" i="4" s="1"/>
  <c r="J20" i="4" s="1"/>
  <c r="J10" i="7"/>
  <c r="K29" i="4"/>
  <c r="K5" i="4"/>
  <c r="K31" i="4"/>
  <c r="K10" i="4"/>
  <c r="K27" i="4"/>
  <c r="J29" i="7"/>
  <c r="J17" i="4"/>
  <c r="K33" i="6"/>
  <c r="K6" i="6"/>
  <c r="K17" i="6"/>
  <c r="J6" i="5"/>
  <c r="J17" i="5"/>
  <c r="K31" i="5"/>
  <c r="K27" i="5"/>
  <c r="K5" i="5"/>
  <c r="K29" i="5"/>
  <c r="K10" i="5"/>
  <c r="H15" i="4"/>
  <c r="J21" i="4"/>
  <c r="J19" i="4" s="1"/>
  <c r="I15" i="4"/>
  <c r="I4" i="4" s="1"/>
  <c r="I3" i="4" s="1"/>
  <c r="K10" i="7" l="1"/>
  <c r="J6" i="7"/>
  <c r="J45" i="7" s="1"/>
  <c r="J46" i="7"/>
  <c r="K35" i="4"/>
  <c r="K37" i="4" s="1"/>
  <c r="K20" i="4" s="1"/>
  <c r="K31" i="7"/>
  <c r="K29" i="7"/>
  <c r="K5" i="7"/>
  <c r="K44" i="7" s="1"/>
  <c r="K27" i="7"/>
  <c r="H4" i="4"/>
  <c r="H3" i="4" s="1"/>
  <c r="K6" i="4"/>
  <c r="K17" i="4"/>
  <c r="K17" i="5"/>
  <c r="K6" i="5"/>
  <c r="J15" i="4"/>
  <c r="J4" i="4" s="1"/>
  <c r="J3" i="4" s="1"/>
  <c r="K21" i="4"/>
  <c r="K19" i="4" l="1"/>
  <c r="K46" i="7"/>
  <c r="K6" i="7"/>
  <c r="K45" i="7" s="1"/>
  <c r="K15" i="4"/>
  <c r="K4" i="4" s="1"/>
  <c r="K3" i="4" s="1"/>
  <c r="G3" i="5"/>
  <c r="H3" i="5"/>
  <c r="I3" i="5"/>
  <c r="J3" i="5"/>
  <c r="K3" i="5"/>
  <c r="G4" i="5"/>
  <c r="H4" i="5"/>
  <c r="I4" i="5"/>
  <c r="J4" i="5"/>
  <c r="K4" i="5"/>
  <c r="G15" i="5"/>
  <c r="H15" i="5"/>
  <c r="I15" i="5"/>
  <c r="J15" i="5"/>
  <c r="K15" i="5"/>
  <c r="G19" i="5"/>
  <c r="H19" i="5"/>
  <c r="I19" i="5"/>
  <c r="J19" i="5"/>
  <c r="K19" i="5"/>
  <c r="G20" i="5"/>
  <c r="H20" i="5"/>
  <c r="I20" i="5"/>
  <c r="J20" i="5"/>
  <c r="K20" i="5"/>
  <c r="H21" i="5"/>
  <c r="I21" i="5"/>
  <c r="J21" i="5"/>
  <c r="K21" i="5"/>
  <c r="G35" i="5"/>
  <c r="H35" i="5"/>
  <c r="I35" i="5"/>
  <c r="J35" i="5"/>
  <c r="K35" i="5"/>
  <c r="G36" i="5"/>
  <c r="H36" i="5"/>
  <c r="I36" i="5"/>
  <c r="J36" i="5"/>
  <c r="K36" i="5"/>
  <c r="G37" i="5" a="1"/>
  <c r="G37" i="5"/>
  <c r="H37" i="5" a="1"/>
  <c r="H37" i="5"/>
  <c r="I37" i="5" a="1"/>
  <c r="I37" i="5"/>
  <c r="J37" i="5" a="1"/>
  <c r="J37" i="5"/>
  <c r="K37" i="5" a="1"/>
  <c r="K37" i="5"/>
  <c r="G38" i="5"/>
  <c r="H38" i="5"/>
  <c r="I38" i="5"/>
  <c r="J38" i="5"/>
  <c r="K38" i="5"/>
  <c r="G3" i="6"/>
  <c r="H3" i="6"/>
  <c r="I3" i="6"/>
  <c r="J3" i="6"/>
  <c r="K3" i="6"/>
  <c r="G4" i="6"/>
  <c r="H4" i="6"/>
  <c r="I4" i="6"/>
  <c r="J4" i="6"/>
  <c r="K4" i="6"/>
  <c r="G15" i="6"/>
  <c r="H15" i="6"/>
  <c r="I15" i="6"/>
  <c r="J15" i="6"/>
  <c r="K15" i="6"/>
  <c r="G19" i="6"/>
  <c r="H19" i="6"/>
  <c r="I19" i="6"/>
  <c r="J19" i="6"/>
  <c r="K19" i="6"/>
  <c r="G20" i="6"/>
  <c r="H20" i="6"/>
  <c r="I20" i="6"/>
  <c r="J20" i="6"/>
  <c r="K20" i="6"/>
  <c r="H21" i="6"/>
  <c r="I21" i="6"/>
  <c r="J21" i="6"/>
  <c r="K21" i="6"/>
  <c r="G35" i="6"/>
  <c r="H35" i="6"/>
  <c r="I35" i="6"/>
  <c r="J35" i="6"/>
  <c r="K35" i="6"/>
  <c r="G36" i="6"/>
  <c r="H36" i="6"/>
  <c r="I36" i="6"/>
  <c r="J36" i="6"/>
  <c r="K36" i="6"/>
  <c r="G37" i="6" a="1"/>
  <c r="G37" i="6"/>
  <c r="H37" i="6" a="1"/>
  <c r="H37" i="6"/>
  <c r="I37" i="6" a="1"/>
  <c r="I37" i="6"/>
  <c r="J37" i="6" a="1"/>
  <c r="J37" i="6"/>
  <c r="K37" i="6" a="1"/>
  <c r="K37" i="6"/>
  <c r="G38" i="6"/>
  <c r="H38" i="6"/>
  <c r="I38" i="6"/>
  <c r="J38" i="6"/>
  <c r="K38" i="6"/>
  <c r="G3" i="7"/>
  <c r="H3" i="7"/>
  <c r="I3" i="7"/>
  <c r="J3" i="7"/>
  <c r="K3" i="7"/>
  <c r="G4" i="7"/>
  <c r="H4" i="7"/>
  <c r="I4" i="7"/>
  <c r="J4" i="7"/>
  <c r="K4" i="7"/>
  <c r="G15" i="7"/>
  <c r="H15" i="7"/>
  <c r="I15" i="7"/>
  <c r="J15" i="7"/>
  <c r="K15" i="7"/>
  <c r="G19" i="7"/>
  <c r="H19" i="7"/>
  <c r="I19" i="7"/>
  <c r="J19" i="7"/>
  <c r="K19" i="7"/>
  <c r="G20" i="7"/>
  <c r="H20" i="7"/>
  <c r="I20" i="7"/>
  <c r="J20" i="7"/>
  <c r="K20" i="7"/>
  <c r="H21" i="7"/>
  <c r="I21" i="7"/>
  <c r="J21" i="7"/>
  <c r="K21" i="7"/>
  <c r="G35" i="7"/>
  <c r="H35" i="7"/>
  <c r="I35" i="7"/>
  <c r="J35" i="7"/>
  <c r="K35" i="7"/>
  <c r="G36" i="7"/>
  <c r="H36" i="7"/>
  <c r="I36" i="7"/>
  <c r="J36" i="7"/>
  <c r="K36" i="7"/>
  <c r="G37" i="7" a="1"/>
  <c r="G37" i="7"/>
  <c r="H37" i="7" a="1"/>
  <c r="H37" i="7"/>
  <c r="I37" i="7" a="1"/>
  <c r="I37" i="7"/>
  <c r="J37" i="7" a="1"/>
  <c r="J37" i="7"/>
  <c r="K37" i="7" a="1"/>
  <c r="K37" i="7"/>
  <c r="G38" i="7"/>
  <c r="H38" i="7"/>
  <c r="I38" i="7"/>
  <c r="J38" i="7"/>
  <c r="K3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<sst xmlns="http://schemas.openxmlformats.org/spreadsheetml/2006/main" count="501" uniqueCount="211">
  <si>
    <t>2021/12</t>
  </si>
  <si>
    <t>BİLANÇO</t>
  </si>
  <si>
    <t>A K T İ F   (VARLIKLAR)</t>
  </si>
  <si>
    <t>I.</t>
  </si>
  <si>
    <t>DÖNEN VARLIKLAR</t>
  </si>
  <si>
    <t>A.</t>
  </si>
  <si>
    <t>Hazır Değerler</t>
  </si>
  <si>
    <t xml:space="preserve"> 1.</t>
  </si>
  <si>
    <t>Kasa</t>
  </si>
  <si>
    <t xml:space="preserve"> 2.</t>
  </si>
  <si>
    <t>Alınan Çekler</t>
  </si>
  <si>
    <t xml:space="preserve"> 3.</t>
  </si>
  <si>
    <t>Bankalar</t>
  </si>
  <si>
    <t xml:space="preserve"> 4.</t>
  </si>
  <si>
    <t xml:space="preserve"> 5.</t>
  </si>
  <si>
    <t>Diğer Hazır Değerler</t>
  </si>
  <si>
    <t>C.</t>
  </si>
  <si>
    <t>Ticari Alacaklar</t>
  </si>
  <si>
    <t>Alıcılar</t>
  </si>
  <si>
    <t>Alacak Senetleri</t>
  </si>
  <si>
    <t>5.</t>
  </si>
  <si>
    <t>Verilen Depozito ve Teminatlar</t>
  </si>
  <si>
    <t>6.</t>
  </si>
  <si>
    <t>7.</t>
  </si>
  <si>
    <t>Şüpheli Ticari Alacaklar</t>
  </si>
  <si>
    <t>8.</t>
  </si>
  <si>
    <t>Şüpheli Ticari Alacak Karşılığı (-)</t>
  </si>
  <si>
    <t>D.</t>
  </si>
  <si>
    <t>Diğer Alacaklar</t>
  </si>
  <si>
    <t>Ortaklardan Alacaklar</t>
  </si>
  <si>
    <t xml:space="preserve"> 7.</t>
  </si>
  <si>
    <t xml:space="preserve"> 8.</t>
  </si>
  <si>
    <t>E.</t>
  </si>
  <si>
    <t>Stoklar</t>
  </si>
  <si>
    <t>İlk Madde ve Malzeme</t>
  </si>
  <si>
    <t>Yarı Mamuller</t>
  </si>
  <si>
    <t>Mamuller</t>
  </si>
  <si>
    <t>Ticari Mallar</t>
  </si>
  <si>
    <t>Diğer Stoklar</t>
  </si>
  <si>
    <t xml:space="preserve"> 6.</t>
  </si>
  <si>
    <t>F.</t>
  </si>
  <si>
    <t>2.</t>
  </si>
  <si>
    <t>3.</t>
  </si>
  <si>
    <t>G.</t>
  </si>
  <si>
    <t>Gelecek Aylara Ait Giderler  ve Gelir Tahakkukları</t>
  </si>
  <si>
    <t>Gelecek Aylara Ait Giderler</t>
  </si>
  <si>
    <t>Gelir Tahakkukları</t>
  </si>
  <si>
    <t>H.</t>
  </si>
  <si>
    <t>Diğer Dönen Varlıklar</t>
  </si>
  <si>
    <t>Devreden KDV</t>
  </si>
  <si>
    <t>İndirilecek KDV</t>
  </si>
  <si>
    <t>Diğer KDV</t>
  </si>
  <si>
    <t>Personel Avansları</t>
  </si>
  <si>
    <t>Diğer Çeşitli Dönen Varlıklar</t>
  </si>
  <si>
    <t>DURAN VARLIKLAR</t>
  </si>
  <si>
    <t>Mali Duran Varlıklar</t>
  </si>
  <si>
    <t>Bağlı Ortaklıklar</t>
  </si>
  <si>
    <t>Maddi Duran Varlıklar</t>
  </si>
  <si>
    <t>Arazi ve Arsalar</t>
  </si>
  <si>
    <t>Binalar</t>
  </si>
  <si>
    <t>Tesis, Makina ve Cihazlar</t>
  </si>
  <si>
    <t>Taşıtlar</t>
  </si>
  <si>
    <t>Demirbaşlar</t>
  </si>
  <si>
    <t>Birikmiş Amortismanlar (-)</t>
  </si>
  <si>
    <t>Maddi Olmayan Duran Varlıklar</t>
  </si>
  <si>
    <t>Haklar</t>
  </si>
  <si>
    <t>Özel Maliyetler</t>
  </si>
  <si>
    <t>1.</t>
  </si>
  <si>
    <t>Gelecek Yıllar Gider/Gelir Tahakkukları</t>
  </si>
  <si>
    <t>Gelecek Yıllara Ait Giderler</t>
  </si>
  <si>
    <t>P A S İ F</t>
  </si>
  <si>
    <t>KISA VADELİ YABANCI KAYNAKLAR</t>
  </si>
  <si>
    <t>Mali Borçlar</t>
  </si>
  <si>
    <t>Banka Kredileri</t>
  </si>
  <si>
    <t>Finansal Kiralama İşlemlerinden Borçlar</t>
  </si>
  <si>
    <t>Ertelenmiş Finansal Kiralama Borçlanma Maliyetleri (-)</t>
  </si>
  <si>
    <t>9.</t>
  </si>
  <si>
    <t>Diğer Mali Borçlar</t>
  </si>
  <si>
    <t>B.</t>
  </si>
  <si>
    <t>Ticari Borçlar</t>
  </si>
  <si>
    <t>Satıcılar</t>
  </si>
  <si>
    <t>Borç Senetleri</t>
  </si>
  <si>
    <t>Alınan Depozito ve Teminatlar</t>
  </si>
  <si>
    <t>Diğer Ticari Borçlar</t>
  </si>
  <si>
    <t>Diğer Borçlar</t>
  </si>
  <si>
    <t>Ortaklara Borçlar</t>
  </si>
  <si>
    <t>Personele Borçlar</t>
  </si>
  <si>
    <t>Diğer Çeşitli Borçlar</t>
  </si>
  <si>
    <t>Alınan Avanslar</t>
  </si>
  <si>
    <t>Alınan Sipariş Avansları</t>
  </si>
  <si>
    <t>Ödenecek Vergi ve Diğer Yükümlülükler</t>
  </si>
  <si>
    <t>Ödenecek Vergi ve Fonlar</t>
  </si>
  <si>
    <t>Gelecek Aylar Gelir/Gider Tahakkukları</t>
  </si>
  <si>
    <t>Gider Tahakkukları</t>
  </si>
  <si>
    <t>Diğer Kısa Vadeli Yabancı Kaynaklar</t>
  </si>
  <si>
    <t>Hesaplanan KDV</t>
  </si>
  <si>
    <t>UZUN VADELİ YABANCI KAYNAKLAR</t>
  </si>
  <si>
    <t>ÖZ KAYNAKLAR</t>
  </si>
  <si>
    <t>Ödenmiş Sermaye</t>
  </si>
  <si>
    <t>Sermaye</t>
  </si>
  <si>
    <t>Sermaye Yedekleri</t>
  </si>
  <si>
    <t>M.D.V. Yeniden Değerleme Artışları</t>
  </si>
  <si>
    <t>Diğer Sermaye Yedekleri</t>
  </si>
  <si>
    <t>Kar Yedekleri</t>
  </si>
  <si>
    <t>Geçmiş Yıllar Karları</t>
  </si>
  <si>
    <t>Geçmiş Yıllar Zararları (-)</t>
  </si>
  <si>
    <t>Dönem Net Karı (Zararı)</t>
  </si>
  <si>
    <t>GELİR TABLOSU</t>
  </si>
  <si>
    <t>BRÜT SATIŞLAR</t>
  </si>
  <si>
    <t>1-</t>
  </si>
  <si>
    <t>Yurtiçi Satışlar</t>
  </si>
  <si>
    <t>2-</t>
  </si>
  <si>
    <t>3-</t>
  </si>
  <si>
    <t>SATIŞ İNDİRİMLERİ (-)</t>
  </si>
  <si>
    <t>Satış İadeleri (-)</t>
  </si>
  <si>
    <t>Satış Iskontoları (-)</t>
  </si>
  <si>
    <t>Diğer İnidirimler (-)</t>
  </si>
  <si>
    <t>NET SATIŞLAR</t>
  </si>
  <si>
    <t>SATIŞLARIN MALİYETİ (-)</t>
  </si>
  <si>
    <t>Satılan Mamuller Maliyeti (-)</t>
  </si>
  <si>
    <t>4-</t>
  </si>
  <si>
    <t>BRÜT SATIŞ KARI VEYA ZARARI</t>
  </si>
  <si>
    <t>FAALİYET GİDERLERİ (-)</t>
  </si>
  <si>
    <t>Pazarlama, Satış ve Dağıtım Giderleri (-)</t>
  </si>
  <si>
    <t>Genel Yönetim Giderleri (-)</t>
  </si>
  <si>
    <t>FAALİYET KARI VEYA ZARARI</t>
  </si>
  <si>
    <t>DİĞER FAALİYETLERDEN OLAĞAN GELİR VE KARLAR</t>
  </si>
  <si>
    <t>10-</t>
  </si>
  <si>
    <t>Faaliyetle İlgili Diğer Olağan Gelirler ve Karlar</t>
  </si>
  <si>
    <t>DİĞER FAALİYETLERDEN OLAĞAN GİDER VE ZARARLARI (-)</t>
  </si>
  <si>
    <t>Kambiyo Zararları (-)</t>
  </si>
  <si>
    <t>7-</t>
  </si>
  <si>
    <t>Diger Olagan Gider ve Zararlar (-)</t>
  </si>
  <si>
    <t>FİNANSMAN GİDERLERİ (-)</t>
  </si>
  <si>
    <t>Kısa Vadeli Borçlanma Giderleri (-)</t>
  </si>
  <si>
    <t>OLAĞAN KAR VEYA ZARAR</t>
  </si>
  <si>
    <t>OLAĞANDIŞI GELİR VE KARLAR</t>
  </si>
  <si>
    <t>OLAĞAN DIŞI GİDER VE ZARARLAR (-)</t>
  </si>
  <si>
    <t>Diğer Olağandışı Gider ve Zararlar (-)</t>
  </si>
  <si>
    <t>DÖNEM KARI VEYA ZARARI</t>
  </si>
  <si>
    <t>DÖNEM KARI  VERGİ VE DİĞER YASAL YÜK. KRŞ. (-)</t>
  </si>
  <si>
    <t>DÖNEM NET KARI VEYA ZARARI</t>
  </si>
  <si>
    <t>Ticari Alacak Devir Hızı</t>
  </si>
  <si>
    <t>Ortalama Stoklar</t>
  </si>
  <si>
    <t>Stok Devir Hızı</t>
  </si>
  <si>
    <t>Ticari Borç Devir Hızı</t>
  </si>
  <si>
    <t>2022/12</t>
  </si>
  <si>
    <t>Yıl 1</t>
  </si>
  <si>
    <t>Yıl 2</t>
  </si>
  <si>
    <t>Düzeltilmiş Ticari Alacaklar</t>
  </si>
  <si>
    <t>Düzeltilmiş Stoklar</t>
  </si>
  <si>
    <t>Düzeltilmiş Ticari Borçlar</t>
  </si>
  <si>
    <t>Ticari Alacak Devir Süresi</t>
  </si>
  <si>
    <t>Stok Devir Süresi</t>
  </si>
  <si>
    <t>Ticari Borç Devir Süresi</t>
  </si>
  <si>
    <t>Nakit Akış Tablosu</t>
  </si>
  <si>
    <t>Net Dönem Karı</t>
  </si>
  <si>
    <t>Amortismanlar</t>
  </si>
  <si>
    <t>Düzeltilmiş Ticari Alacaklardan Nakit Çıkışı</t>
  </si>
  <si>
    <t>Düzeltilmiş Stoklar Nakit Çıkışı</t>
  </si>
  <si>
    <t>Düzeltilmiş Ticari Borçlar Nakit Girişi</t>
  </si>
  <si>
    <t>Finansal Borçlardan Nakit Çıkışı</t>
  </si>
  <si>
    <t>Maddi ve Maddi Olmayan Duran Varlık Alımı Kaynaklı Nakit Çıkışı (Amortisman Hariç)</t>
  </si>
  <si>
    <t>Ortaklardan Alacaklardaki Artış</t>
  </si>
  <si>
    <t>KDV Alacaklarındaki Artış</t>
  </si>
  <si>
    <t>Personele Borçlardaki Artış</t>
  </si>
  <si>
    <t>Diğer Çeşitli Borçlardaki Azalış</t>
  </si>
  <si>
    <t>Özsermaye Değişimi (Net Kar Hariç)</t>
  </si>
  <si>
    <t>Diğer Unsurlar</t>
  </si>
  <si>
    <t>Net Nakit Girişi</t>
  </si>
  <si>
    <t>Dönem Başı Nakit ve Nakit Benzeri</t>
  </si>
  <si>
    <t>Dönem Sonu Nakit ve Nakit Benzeri</t>
  </si>
  <si>
    <t>Yıl 3</t>
  </si>
  <si>
    <t>Nakit ve Nakit Benzeri</t>
  </si>
  <si>
    <t>Maddi ve Maddi Olmayan Duran Varlıklar</t>
  </si>
  <si>
    <t>VARLIKLAR</t>
  </si>
  <si>
    <t>KAYNAKLAR</t>
  </si>
  <si>
    <t>Toplam Finansal Borçlar</t>
  </si>
  <si>
    <t>Net KDV Alacakları</t>
  </si>
  <si>
    <t>Net Ortaklardan Alacaklar</t>
  </si>
  <si>
    <t>Özkaynaklar</t>
  </si>
  <si>
    <t>Diğer Varlıklar</t>
  </si>
  <si>
    <t>Varlıklar</t>
  </si>
  <si>
    <t>Birikmiş Amortismanlar</t>
  </si>
  <si>
    <t>Gelir Tablosu</t>
  </si>
  <si>
    <t>Gelirler</t>
  </si>
  <si>
    <t>SMM</t>
  </si>
  <si>
    <t>Faaliyet Giderleri</t>
  </si>
  <si>
    <t>Net Kar</t>
  </si>
  <si>
    <t>Diğer Özkaynak Kalemleri</t>
  </si>
  <si>
    <t>Diğer Giderler</t>
  </si>
  <si>
    <t>Finansman Giderleri</t>
  </si>
  <si>
    <t>Vergi</t>
  </si>
  <si>
    <t>Net Dönem Karı/Zararı</t>
  </si>
  <si>
    <t>Vergi Öncesi Kar/Zarar</t>
  </si>
  <si>
    <t>Enflasyon Beklentisi</t>
  </si>
  <si>
    <t>SMM/Gelirler</t>
  </si>
  <si>
    <t>Faaliyet Giderleri/Gelirler</t>
  </si>
  <si>
    <t>Diğer Giderler/Gelirler</t>
  </si>
  <si>
    <t>Yıllık Borçlanma Oranı</t>
  </si>
  <si>
    <t>Dönem 1 T</t>
  </si>
  <si>
    <t>Dönem 2 T</t>
  </si>
  <si>
    <t>Dönem 3 T</t>
  </si>
  <si>
    <t>Dönem 4 T</t>
  </si>
  <si>
    <t>Dönem 5 T</t>
  </si>
  <si>
    <t>Faiz Gelirleri</t>
  </si>
  <si>
    <t>Ortalama Ticari Alacak Devir Süresi</t>
  </si>
  <si>
    <t>Ortalama Ticari Borç Devir Süresi</t>
  </si>
  <si>
    <t>Ortalama Stok Devir Süresi</t>
  </si>
  <si>
    <t>Ortalama Ticari Alacaklar (KDV Hariç)</t>
  </si>
  <si>
    <t>Ortalama Ticari Borçlar (KDV Hariç)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</si>
</sst>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64" formatCode="#,##0_ ;[Red]\-#,##0\ "/>
    <numFmt numFmtId="165" formatCode="#,##0.000_ ;[Red]\-#,##0.000\ "/>
    <numFmt numFmtId="166" formatCode="_-* #,##0.00\ _T_L_-;\-* #,##0.00\ _T_L_-;_-* &quot;-&quot;??\ _T_L_-;_-@_-"/>
    <numFmt numFmtId="167" formatCode="0.0"/>
    <numFmt numFmtId="168" formatCode="0.0%"/>
    <numFmt numFmtId="169" formatCode="#,##0.0_ ;[Red]\-#,##0.0\ "/>
  </numFmts>
  <fonts count="18" x14ac:knownFonts="1">
    <font>
      <sz val="11"/>
      <color theme="1"/>
      <name val="Aptos Narrow"/>
      <family val="2"/>
      <charset val="162"/>
      <scheme val="minor"/>
    </font>
    <font>
      <sz val="11"/>
      <color theme="1"/>
      <name val="Aptos Narrow"/>
      <family val="2"/>
      <charset val="162"/>
      <scheme val="minor"/>
    </font>
    <font>
      <sz val="8"/>
      <name val="Tahoma"/>
      <family val="2"/>
      <charset val="162"/>
    </font>
    <font>
      <b/>
      <sz val="8"/>
      <name val="Tahoma"/>
      <family val="2"/>
      <charset val="162"/>
    </font>
    <font>
      <sz val="10"/>
      <name val="Arial Tur"/>
      <charset val="162"/>
    </font>
    <font>
      <sz val="11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4"/>
      <name val="Calibri"/>
      <family val="2"/>
      <charset val="162"/>
    </font>
    <font>
      <sz val="14"/>
      <color theme="1"/>
      <name val="Calibri"/>
      <family val="2"/>
      <charset val="162"/>
    </font>
    <font>
      <b/>
      <sz val="14"/>
      <color theme="1"/>
      <name val="Calibri"/>
      <family val="2"/>
      <charset val="162"/>
    </font>
    <font>
      <i/>
      <sz val="14"/>
      <color theme="1"/>
      <name val="Calibri"/>
      <family val="2"/>
      <charset val="162"/>
    </font>
    <font>
      <sz val="8"/>
      <name val="Aptos Narrow"/>
      <family val="2"/>
      <charset val="162"/>
      <scheme val="minor"/>
    </font>
    <font>
      <b/>
      <i/>
      <sz val="14"/>
      <color theme="1"/>
      <name val="Calibri"/>
      <family val="2"/>
      <charset val="162"/>
    </font>
    <font>
      <b/>
      <i/>
      <sz val="11"/>
      <color theme="1"/>
      <name val="Aptos Narrow"/>
      <family val="2"/>
      <charset val="162"/>
      <scheme val="minor"/>
    </font>
    <font>
      <i/>
      <sz val="11"/>
      <color theme="1"/>
      <name val="Aptos Narrow"/>
      <family val="2"/>
      <charset val="16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9" fontId="4" fillId="0" borderId="0" applyFont="0" applyFill="0" applyBorder="0" applyAlignment="0" applyProtection="0"/>
  </cellStyleXfs>
  <cellXfs count="84">
    <xf numFmtId="0" fontId="0" fillId="0" borderId="0" xfId="0"/>
    <xf numFmtId="164" fontId="6" fillId="0" borderId="3" xfId="1" applyNumberFormat="1" applyFont="1" applyFill="1" applyBorder="1" applyAlignment="1" applyProtection="1">
      <alignment vertical="center" shrinkToFit="1"/>
      <protection hidden="1"/>
    </xf>
    <xf numFmtId="164" fontId="6" fillId="0" borderId="7" xfId="1" applyNumberFormat="1" applyFont="1" applyFill="1" applyBorder="1" applyAlignment="1" applyProtection="1">
      <alignment vertical="center" shrinkToFit="1"/>
      <protection hidden="1"/>
    </xf>
    <xf numFmtId="164" fontId="8" fillId="0" borderId="7" xfId="1" applyNumberFormat="1" applyFont="1" applyFill="1" applyBorder="1" applyAlignment="1" applyProtection="1">
      <alignment vertical="center" shrinkToFit="1"/>
      <protection hidden="1"/>
    </xf>
    <xf numFmtId="9" fontId="8" fillId="0" borderId="0" xfId="2" applyFont="1" applyFill="1" applyAlignment="1">
      <alignment vertical="center"/>
    </xf>
    <xf numFmtId="164" fontId="6" fillId="0" borderId="7" xfId="3" applyNumberFormat="1" applyFont="1" applyFill="1" applyBorder="1" applyAlignment="1" applyProtection="1">
      <alignment vertical="center" shrinkToFit="1"/>
      <protection hidden="1"/>
    </xf>
    <xf numFmtId="164" fontId="8" fillId="0" borderId="7" xfId="3" applyNumberFormat="1" applyFont="1" applyFill="1" applyBorder="1" applyAlignment="1" applyProtection="1">
      <alignment vertical="center" shrinkToFit="1"/>
      <protection hidden="1"/>
    </xf>
    <xf numFmtId="164" fontId="6" fillId="0" borderId="7" xfId="3" applyNumberFormat="1" applyFont="1" applyFill="1" applyBorder="1" applyAlignment="1" applyProtection="1">
      <alignment vertical="center" shrinkToFit="1"/>
      <protection locked="0"/>
    </xf>
    <xf numFmtId="164" fontId="6" fillId="0" borderId="8" xfId="3" applyNumberFormat="1" applyFont="1" applyFill="1" applyBorder="1" applyAlignment="1" applyProtection="1">
      <alignment vertical="center" shrinkToFit="1"/>
      <protection hidden="1"/>
    </xf>
    <xf numFmtId="164" fontId="6" fillId="0" borderId="12" xfId="3" applyNumberFormat="1" applyFont="1" applyFill="1" applyBorder="1" applyAlignment="1" applyProtection="1">
      <alignment vertical="center" shrinkToFit="1"/>
      <protection hidden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right" vertical="center"/>
      <protection hidden="1"/>
    </xf>
    <xf numFmtId="164" fontId="8" fillId="0" borderId="7" xfId="0" applyNumberFormat="1" applyFont="1" applyBorder="1" applyAlignment="1">
      <alignment vertical="center"/>
    </xf>
    <xf numFmtId="164" fontId="6" fillId="0" borderId="7" xfId="0" applyNumberFormat="1" applyFont="1" applyBorder="1" applyAlignment="1" applyProtection="1">
      <alignment vertical="center" shrinkToFit="1"/>
      <protection hidden="1"/>
    </xf>
    <xf numFmtId="0" fontId="8" fillId="0" borderId="0" xfId="0" applyFont="1" applyAlignment="1" applyProtection="1">
      <alignment vertical="center" shrinkToFit="1"/>
      <protection hidden="1"/>
    </xf>
    <xf numFmtId="0" fontId="6" fillId="0" borderId="10" xfId="0" applyFont="1" applyBorder="1" applyAlignment="1" applyProtection="1">
      <alignment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164" fontId="8" fillId="0" borderId="0" xfId="0" applyNumberFormat="1" applyFont="1" applyAlignment="1" applyProtection="1">
      <alignment vertical="center"/>
      <protection hidden="1"/>
    </xf>
    <xf numFmtId="164" fontId="8" fillId="0" borderId="0" xfId="0" applyNumberFormat="1" applyFont="1" applyAlignment="1">
      <alignment vertical="center"/>
    </xf>
    <xf numFmtId="0" fontId="6" fillId="0" borderId="0" xfId="0" applyFont="1" applyAlignment="1" applyProtection="1">
      <alignment horizontal="left" vertical="center"/>
      <protection hidden="1"/>
    </xf>
    <xf numFmtId="0" fontId="8" fillId="0" borderId="0" xfId="0" applyFont="1" applyAlignment="1" applyProtection="1">
      <alignment horizontal="left" vertical="center"/>
      <protection hidden="1"/>
    </xf>
    <xf numFmtId="164" fontId="6" fillId="0" borderId="7" xfId="0" applyNumberFormat="1" applyFont="1" applyBorder="1" applyAlignment="1">
      <alignment vertical="center"/>
    </xf>
    <xf numFmtId="165" fontId="8" fillId="0" borderId="0" xfId="0" applyNumberFormat="1" applyFont="1" applyAlignment="1">
      <alignment vertical="center"/>
    </xf>
    <xf numFmtId="0" fontId="6" fillId="0" borderId="11" xfId="0" applyFont="1" applyBorder="1" applyAlignment="1" applyProtection="1">
      <alignment vertical="center"/>
      <protection hidden="1"/>
    </xf>
    <xf numFmtId="0" fontId="6" fillId="0" borderId="2" xfId="0" applyFont="1" applyBorder="1" applyAlignment="1" applyProtection="1">
      <alignment vertical="center"/>
      <protection hidden="1"/>
    </xf>
    <xf numFmtId="0" fontId="6" fillId="0" borderId="12" xfId="0" applyFont="1" applyBorder="1" applyAlignment="1">
      <alignment horizontal="center" vertical="center"/>
    </xf>
    <xf numFmtId="0" fontId="3" fillId="0" borderId="6" xfId="0" applyFont="1" applyBorder="1" applyAlignment="1" applyProtection="1">
      <alignment vertical="center"/>
      <protection hidden="1"/>
    </xf>
    <xf numFmtId="0" fontId="8" fillId="0" borderId="6" xfId="0" applyFont="1" applyBorder="1" applyAlignment="1" applyProtection="1">
      <alignment vertical="center"/>
      <protection hidden="1"/>
    </xf>
    <xf numFmtId="0" fontId="8" fillId="0" borderId="0" xfId="0" applyFont="1" applyAlignment="1" applyProtection="1">
      <alignment horizontal="right" vertical="center"/>
      <protection hidden="1"/>
    </xf>
    <xf numFmtId="0" fontId="6" fillId="0" borderId="6" xfId="0" applyFont="1" applyBorder="1" applyAlignment="1" applyProtection="1">
      <alignment vertical="center"/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6" fillId="0" borderId="13" xfId="0" applyFont="1" applyBorder="1" applyAlignment="1" applyProtection="1">
      <alignment vertical="center"/>
      <protection hidden="1"/>
    </xf>
    <xf numFmtId="0" fontId="6" fillId="0" borderId="14" xfId="0" applyFont="1" applyBorder="1" applyAlignment="1" applyProtection="1">
      <alignment horizontal="right" vertical="center"/>
      <protection hidden="1"/>
    </xf>
    <xf numFmtId="0" fontId="6" fillId="0" borderId="14" xfId="0" applyFont="1" applyBorder="1" applyAlignment="1" applyProtection="1">
      <alignment vertical="center"/>
      <protection hidden="1"/>
    </xf>
    <xf numFmtId="0" fontId="6" fillId="0" borderId="9" xfId="0" applyFont="1" applyBorder="1" applyAlignment="1" applyProtection="1">
      <alignment vertical="center"/>
      <protection hidden="1"/>
    </xf>
    <xf numFmtId="0" fontId="6" fillId="0" borderId="10" xfId="0" applyFont="1" applyBorder="1" applyAlignment="1" applyProtection="1">
      <alignment horizontal="right" vertical="center"/>
      <protection hidden="1"/>
    </xf>
    <xf numFmtId="0" fontId="2" fillId="0" borderId="13" xfId="0" applyFont="1" applyBorder="1" applyAlignment="1" applyProtection="1">
      <alignment horizontal="center" vertical="center"/>
      <protection hidden="1"/>
    </xf>
    <xf numFmtId="0" fontId="8" fillId="0" borderId="14" xfId="0" applyFont="1" applyBorder="1" applyAlignment="1" applyProtection="1">
      <alignment vertical="center"/>
      <protection hidden="1"/>
    </xf>
    <xf numFmtId="164" fontId="8" fillId="0" borderId="8" xfId="0" applyNumberFormat="1" applyFont="1" applyBorder="1" applyAlignment="1">
      <alignment vertical="center"/>
    </xf>
    <xf numFmtId="0" fontId="3" fillId="0" borderId="13" xfId="0" applyFont="1" applyBorder="1" applyAlignment="1" applyProtection="1">
      <alignment horizontal="center" vertical="center"/>
      <protection hidden="1"/>
    </xf>
    <xf numFmtId="0" fontId="6" fillId="0" borderId="14" xfId="0" applyFont="1" applyBorder="1" applyAlignment="1" applyProtection="1">
      <alignment horizontal="left" vertical="center"/>
      <protection hidden="1"/>
    </xf>
    <xf numFmtId="164" fontId="6" fillId="0" borderId="8" xfId="0" applyNumberFormat="1" applyFont="1" applyBorder="1" applyAlignment="1">
      <alignment vertical="center"/>
    </xf>
    <xf numFmtId="164" fontId="6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4" fontId="7" fillId="0" borderId="0" xfId="0" applyNumberFormat="1" applyFont="1" applyAlignment="1">
      <alignment horizontal="right" vertical="center"/>
    </xf>
    <xf numFmtId="0" fontId="9" fillId="0" borderId="0" xfId="0" applyFont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164" fontId="9" fillId="0" borderId="0" xfId="0" applyNumberFormat="1" applyFont="1" applyAlignment="1">
      <alignment horizontal="right" vertical="center"/>
    </xf>
    <xf numFmtId="0" fontId="7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164" fontId="11" fillId="0" borderId="0" xfId="0" applyNumberFormat="1" applyFont="1" applyAlignment="1">
      <alignment horizontal="right" vertical="center" wrapText="1"/>
    </xf>
    <xf numFmtId="164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 wrapText="1"/>
    </xf>
    <xf numFmtId="164" fontId="13" fillId="0" borderId="0" xfId="0" applyNumberFormat="1" applyFont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164" fontId="12" fillId="0" borderId="0" xfId="0" applyNumberFormat="1" applyFont="1" applyAlignment="1">
      <alignment horizontal="right" vertical="center" wrapText="1"/>
    </xf>
    <xf numFmtId="0" fontId="15" fillId="0" borderId="0" xfId="0" applyFont="1" applyAlignment="1">
      <alignment vertical="center" wrapText="1"/>
    </xf>
    <xf numFmtId="164" fontId="15" fillId="0" borderId="0" xfId="0" applyNumberFormat="1" applyFont="1" applyAlignment="1">
      <alignment horizontal="right" vertical="center" wrapText="1"/>
    </xf>
    <xf numFmtId="0" fontId="16" fillId="0" borderId="0" xfId="0" applyFont="1"/>
    <xf numFmtId="168" fontId="17" fillId="0" borderId="0" xfId="2" applyNumberFormat="1" applyFont="1"/>
    <xf numFmtId="168" fontId="13" fillId="0" borderId="0" xfId="2" applyNumberFormat="1" applyFont="1" applyAlignment="1">
      <alignment vertical="center" wrapText="1"/>
    </xf>
    <xf numFmtId="168" fontId="13" fillId="0" borderId="0" xfId="2" applyNumberFormat="1" applyFont="1" applyAlignment="1">
      <alignment horizontal="right" vertical="center" wrapText="1"/>
    </xf>
    <xf numFmtId="9" fontId="11" fillId="0" borderId="0" xfId="2" applyFont="1" applyAlignment="1">
      <alignment horizontal="right" vertical="center" wrapText="1"/>
    </xf>
    <xf numFmtId="168" fontId="15" fillId="0" borderId="0" xfId="2" applyNumberFormat="1" applyFont="1" applyAlignment="1">
      <alignment horizontal="right" vertical="center" wrapText="1"/>
    </xf>
    <xf numFmtId="164" fontId="11" fillId="2" borderId="0" xfId="0" applyNumberFormat="1" applyFont="1" applyFill="1" applyAlignment="1">
      <alignment horizontal="right" vertical="center" wrapText="1"/>
    </xf>
    <xf numFmtId="169" fontId="11" fillId="0" borderId="0" xfId="0" applyNumberFormat="1" applyFont="1" applyAlignment="1">
      <alignment horizontal="right" vertical="center" wrapText="1"/>
    </xf>
    <xf numFmtId="0" fontId="6" fillId="0" borderId="0" xfId="0" applyFont="1" applyAlignment="1" applyProtection="1">
      <alignment horizontal="left" vertical="center"/>
      <protection hidden="1"/>
    </xf>
    <xf numFmtId="0" fontId="8" fillId="0" borderId="0" xfId="0" applyFont="1" applyAlignment="1" applyProtection="1">
      <alignment horizontal="left" vertical="center"/>
      <protection hidden="1"/>
    </xf>
    <xf numFmtId="0" fontId="6" fillId="0" borderId="1" xfId="0" applyFont="1" applyBorder="1" applyAlignment="1" applyProtection="1">
      <alignment horizontal="left" vertical="center"/>
      <protection hidden="1"/>
    </xf>
    <xf numFmtId="0" fontId="6" fillId="0" borderId="2" xfId="0" applyFont="1" applyBorder="1" applyAlignment="1" applyProtection="1">
      <alignment horizontal="left" vertical="center"/>
      <protection hidden="1"/>
    </xf>
    <xf numFmtId="0" fontId="6" fillId="0" borderId="5" xfId="0" applyFont="1" applyBorder="1" applyAlignment="1" applyProtection="1">
      <alignment vertical="center"/>
      <protection hidden="1"/>
    </xf>
    <xf numFmtId="0" fontId="8" fillId="0" borderId="5" xfId="0" applyFont="1" applyBorder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hidden="1"/>
    </xf>
  </cellXfs>
  <cellStyles count="6">
    <cellStyle name="Binlik Ayracı [0]" xfId="1" builtinId="6"/>
    <cellStyle name="Comma 2" xfId="3" xr:uid="{FB20D1FC-3719-47CD-8F93-04904B70B71F}"/>
    <cellStyle name="Normal" xfId="0" builtinId="0"/>
    <cellStyle name="Normal 3" xfId="4" xr:uid="{8A47F595-FF16-454F-B1A0-4887F3083C1D}"/>
    <cellStyle name="Percent 2" xfId="5" xr:uid="{5917F81E-0BB4-45F4-B78D-A32378020235}"/>
    <cellStyle name="Yüzde" xfId="2" builtinId="5"/>
  </cellStyles>
  <dxfs count="1">
    <dxf>
      <font>
        <condense val="0"/>
        <extend val="0"/>
        <color indexed="26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17EE8-F823-423D-9198-C2264C7F1FA8}">
  <dimension ref="A1:N146"/>
  <sheetViews>
    <sheetView showGridLines="0" tabSelected="1" zoomScale="115" zoomScaleNormal="115" workbookViewId="0"/>
  </sheetViews>
  <sheetFormatPr defaultRowHeight="15" x14ac:dyDescent="0.25"/>
  <cols>
    <col min="1" max="1" width="5.5703125" style="12" customWidth="1"/>
    <col min="2" max="2" width="2.5703125" style="12" customWidth="1"/>
    <col min="3" max="3" width="3.140625" style="12" customWidth="1"/>
    <col min="4" max="4" width="41.140625" style="12" bestFit="1" customWidth="1"/>
    <col min="5" max="6" width="16.5703125" style="12" customWidth="1"/>
    <col min="7" max="7" width="13.140625" bestFit="1" customWidth="1"/>
    <col min="8" max="8" width="9.140625" style="11"/>
    <col min="9" max="9" width="9.7109375" style="11" bestFit="1" customWidth="1"/>
    <col min="10" max="11" width="9.140625" style="11"/>
    <col min="12" max="12" width="35.5703125" style="11" customWidth="1"/>
    <col min="13" max="14" width="10.7109375" style="52" bestFit="1" customWidth="1"/>
    <col min="15" max="16384" width="9.140625" style="11"/>
  </cols>
  <sheetData>
    <row r="1" spans="1:14" x14ac:dyDescent="0.25">
      <c r="A1" s="10"/>
      <c r="B1" s="11"/>
      <c r="C1" s="11"/>
      <c r="D1" s="11"/>
    </row>
    <row r="2" spans="1:14" x14ac:dyDescent="0.25">
      <c r="A2" s="10"/>
      <c r="B2" s="11"/>
      <c r="C2" s="11"/>
      <c r="D2" s="11"/>
      <c r="E2" s="13"/>
      <c r="F2" s="13"/>
      <c r="L2" s="53"/>
    </row>
    <row r="3" spans="1:14" x14ac:dyDescent="0.25">
      <c r="A3" s="10" t="s">
        <v>1</v>
      </c>
      <c r="B3" s="11"/>
      <c r="C3" s="11"/>
      <c r="D3" s="11"/>
      <c r="E3" s="13" t="s">
        <v>147</v>
      </c>
      <c r="F3" s="13" t="s">
        <v>148</v>
      </c>
      <c r="L3" s="53" t="s">
        <v>155</v>
      </c>
      <c r="M3" s="54" t="s">
        <v>148</v>
      </c>
      <c r="N3" s="54" t="s">
        <v>172</v>
      </c>
    </row>
    <row r="4" spans="1:14" x14ac:dyDescent="0.25">
      <c r="A4" s="78" t="s">
        <v>2</v>
      </c>
      <c r="B4" s="79"/>
      <c r="C4" s="79"/>
      <c r="D4" s="79"/>
      <c r="E4" s="1">
        <v>59744788.709999718</v>
      </c>
      <c r="F4" s="1">
        <v>105495867.71999982</v>
      </c>
      <c r="L4" s="11" t="s">
        <v>156</v>
      </c>
      <c r="M4" s="52">
        <f>F90</f>
        <v>-2166703.7100000032</v>
      </c>
      <c r="N4" s="52">
        <f>+M4</f>
        <v>-2166703.7100000032</v>
      </c>
    </row>
    <row r="5" spans="1:14" x14ac:dyDescent="0.25">
      <c r="A5" s="14">
        <v>1</v>
      </c>
      <c r="B5" s="80" t="s">
        <v>4</v>
      </c>
      <c r="C5" s="81"/>
      <c r="D5" s="81"/>
      <c r="E5" s="1">
        <v>46799630.484999716</v>
      </c>
      <c r="F5" s="1">
        <v>89909079.314999819</v>
      </c>
      <c r="L5" s="11" t="s">
        <v>157</v>
      </c>
      <c r="M5" s="52">
        <f>-(F43-E43+F47-E47)</f>
        <v>1045904.1300000004</v>
      </c>
      <c r="N5" s="52">
        <f>+M5</f>
        <v>1045904.1300000004</v>
      </c>
    </row>
    <row r="6" spans="1:14" x14ac:dyDescent="0.25">
      <c r="A6" s="15">
        <v>10</v>
      </c>
      <c r="B6" s="16" t="s">
        <v>5</v>
      </c>
      <c r="C6" s="82" t="s">
        <v>6</v>
      </c>
      <c r="D6" s="83"/>
      <c r="E6" s="2">
        <v>5094754.5349999992</v>
      </c>
      <c r="F6" s="2">
        <v>12218838.800000003</v>
      </c>
      <c r="L6" s="11" t="s">
        <v>158</v>
      </c>
      <c r="M6" s="52">
        <f>+'Özet B_GT'!E5-F128</f>
        <v>-11777882.229999743</v>
      </c>
      <c r="N6" s="52">
        <v>0</v>
      </c>
    </row>
    <row r="7" spans="1:14" x14ac:dyDescent="0.25">
      <c r="A7" s="18">
        <v>100</v>
      </c>
      <c r="B7" s="16"/>
      <c r="C7" s="19" t="s">
        <v>7</v>
      </c>
      <c r="D7" s="17" t="s">
        <v>8</v>
      </c>
      <c r="E7" s="20">
        <v>69615.959999999992</v>
      </c>
      <c r="F7" s="20">
        <v>104307.12499999996</v>
      </c>
      <c r="L7" s="11" t="s">
        <v>159</v>
      </c>
      <c r="M7" s="52">
        <f>+'Özet B_GT'!E6-F129</f>
        <v>-17134105.065000009</v>
      </c>
      <c r="N7" s="52">
        <v>0</v>
      </c>
    </row>
    <row r="8" spans="1:14" x14ac:dyDescent="0.25">
      <c r="A8" s="18">
        <v>101</v>
      </c>
      <c r="B8" s="16"/>
      <c r="C8" s="19" t="s">
        <v>9</v>
      </c>
      <c r="D8" s="17" t="s">
        <v>10</v>
      </c>
      <c r="E8" s="20">
        <v>4890367.0100000007</v>
      </c>
      <c r="F8" s="20">
        <v>9769248.7800000012</v>
      </c>
      <c r="L8" s="11" t="s">
        <v>160</v>
      </c>
      <c r="M8" s="52">
        <f>+F130-'Özet B_GT'!E17</f>
        <v>51267890.015000015</v>
      </c>
      <c r="N8" s="52">
        <v>0</v>
      </c>
    </row>
    <row r="9" spans="1:14" x14ac:dyDescent="0.25">
      <c r="A9" s="18">
        <v>102</v>
      </c>
      <c r="B9" s="16"/>
      <c r="C9" s="19" t="s">
        <v>11</v>
      </c>
      <c r="D9" s="17" t="s">
        <v>12</v>
      </c>
      <c r="E9" s="20">
        <v>55263.559999998928</v>
      </c>
      <c r="F9" s="20">
        <v>2199255.2300000042</v>
      </c>
      <c r="L9" s="11" t="s">
        <v>161</v>
      </c>
      <c r="M9" s="52">
        <f>SUM(F56:F57,F78:F80)-SUM(E78:E80,E56:E57)</f>
        <v>-2851281.3849999942</v>
      </c>
      <c r="N9" s="52">
        <v>0</v>
      </c>
    </row>
    <row r="10" spans="1:14" ht="27" x14ac:dyDescent="0.25">
      <c r="A10" s="18">
        <v>108</v>
      </c>
      <c r="B10" s="16"/>
      <c r="C10" s="19" t="s">
        <v>14</v>
      </c>
      <c r="D10" s="17" t="s">
        <v>15</v>
      </c>
      <c r="E10" s="3">
        <v>79508.004999999524</v>
      </c>
      <c r="F10" s="3">
        <v>146027.66499999759</v>
      </c>
      <c r="L10" s="56" t="s">
        <v>162</v>
      </c>
      <c r="M10" s="52">
        <f>-SUM(F38:F42,F45:F46)+SUM(E38:E42,E45:E46)</f>
        <v>-3583717.2550000027</v>
      </c>
      <c r="N10" s="52">
        <v>0</v>
      </c>
    </row>
    <row r="11" spans="1:14" x14ac:dyDescent="0.25">
      <c r="A11" s="15">
        <v>12</v>
      </c>
      <c r="B11" s="16" t="s">
        <v>16</v>
      </c>
      <c r="C11" s="16" t="s">
        <v>17</v>
      </c>
      <c r="D11" s="17"/>
      <c r="E11" s="2">
        <v>25989485.635000076</v>
      </c>
      <c r="F11" s="2">
        <v>33091533.18499982</v>
      </c>
      <c r="L11" s="11" t="s">
        <v>163</v>
      </c>
      <c r="M11" s="52">
        <f>+E18-F18</f>
        <v>-9339605.3650000002</v>
      </c>
      <c r="N11" s="52">
        <v>0</v>
      </c>
    </row>
    <row r="12" spans="1:14" x14ac:dyDescent="0.25">
      <c r="A12" s="18">
        <v>120</v>
      </c>
      <c r="B12" s="16"/>
      <c r="C12" s="19" t="s">
        <v>7</v>
      </c>
      <c r="D12" s="17" t="s">
        <v>18</v>
      </c>
      <c r="E12" s="3">
        <v>24545138.495000076</v>
      </c>
      <c r="F12" s="3">
        <v>31996388.53999982</v>
      </c>
      <c r="L12" s="11" t="s">
        <v>164</v>
      </c>
      <c r="M12" s="52">
        <f>+E29+E30+E31-F29-F30-F31+F75-E75</f>
        <v>-2414375.8550000037</v>
      </c>
      <c r="N12" s="52">
        <v>0</v>
      </c>
    </row>
    <row r="13" spans="1:14" x14ac:dyDescent="0.25">
      <c r="A13" s="18">
        <v>121</v>
      </c>
      <c r="B13" s="16"/>
      <c r="C13" s="19" t="s">
        <v>9</v>
      </c>
      <c r="D13" s="17" t="s">
        <v>19</v>
      </c>
      <c r="E13" s="3">
        <v>204963.5</v>
      </c>
      <c r="F13" s="3">
        <v>-32500</v>
      </c>
      <c r="L13" s="11" t="s">
        <v>165</v>
      </c>
      <c r="M13" s="52">
        <f>+F66-E66</f>
        <v>630551.60000000009</v>
      </c>
      <c r="N13" s="52">
        <v>0</v>
      </c>
    </row>
    <row r="14" spans="1:14" x14ac:dyDescent="0.25">
      <c r="A14" s="18">
        <v>126</v>
      </c>
      <c r="B14" s="16"/>
      <c r="C14" s="19" t="s">
        <v>20</v>
      </c>
      <c r="D14" s="17" t="s">
        <v>21</v>
      </c>
      <c r="E14" s="3">
        <v>266522.73</v>
      </c>
      <c r="F14" s="3">
        <v>214322.41</v>
      </c>
      <c r="L14" s="11" t="s">
        <v>166</v>
      </c>
      <c r="M14" s="52">
        <f>+F67-E67</f>
        <v>-1972445.5600000052</v>
      </c>
      <c r="N14" s="52">
        <v>0</v>
      </c>
    </row>
    <row r="15" spans="1:14" x14ac:dyDescent="0.25">
      <c r="A15" s="18">
        <v>128</v>
      </c>
      <c r="B15" s="16"/>
      <c r="C15" s="19" t="s">
        <v>23</v>
      </c>
      <c r="D15" s="17" t="s">
        <v>24</v>
      </c>
      <c r="E15" s="3">
        <v>2791275.2550000004</v>
      </c>
      <c r="F15" s="3">
        <v>2839447.9649999999</v>
      </c>
      <c r="L15" s="11" t="s">
        <v>91</v>
      </c>
      <c r="M15" s="52">
        <f>+F71-E71</f>
        <v>-249608.27000000072</v>
      </c>
      <c r="N15" s="52">
        <v>0</v>
      </c>
    </row>
    <row r="16" spans="1:14" x14ac:dyDescent="0.25">
      <c r="A16" s="18">
        <v>129</v>
      </c>
      <c r="B16" s="16"/>
      <c r="C16" s="19" t="s">
        <v>25</v>
      </c>
      <c r="D16" s="17" t="s">
        <v>26</v>
      </c>
      <c r="E16" s="3">
        <v>-1818414.345</v>
      </c>
      <c r="F16" s="3">
        <v>-1926125.73</v>
      </c>
      <c r="L16" s="11" t="s">
        <v>167</v>
      </c>
      <c r="M16" s="52">
        <f>(F81-E81)-F90</f>
        <v>-102541.95499979565</v>
      </c>
      <c r="N16" s="52">
        <v>0</v>
      </c>
    </row>
    <row r="17" spans="1:14" x14ac:dyDescent="0.25">
      <c r="A17" s="15">
        <v>13</v>
      </c>
      <c r="B17" s="16" t="s">
        <v>27</v>
      </c>
      <c r="C17" s="16" t="s">
        <v>28</v>
      </c>
      <c r="D17" s="17"/>
      <c r="E17" s="2">
        <v>2154920.8199999998</v>
      </c>
      <c r="F17" s="2">
        <v>11494526.185000002</v>
      </c>
      <c r="L17" s="11" t="s">
        <v>168</v>
      </c>
      <c r="M17" s="52">
        <f>E14+E15+E16+E32+E33+E36-F36-F33-F32-F16-F15-F14+F62-E62</f>
        <v>826603.73999964935</v>
      </c>
      <c r="N17" s="52">
        <v>0</v>
      </c>
    </row>
    <row r="18" spans="1:14" x14ac:dyDescent="0.25">
      <c r="A18" s="18">
        <v>131</v>
      </c>
      <c r="B18" s="16"/>
      <c r="C18" s="19" t="s">
        <v>7</v>
      </c>
      <c r="D18" s="17" t="s">
        <v>29</v>
      </c>
      <c r="E18" s="20">
        <f>1673453.315+481467.505</f>
        <v>2154920.8199999998</v>
      </c>
      <c r="F18" s="20">
        <f>2221970.64+9272555.545</f>
        <v>11494526.185000001</v>
      </c>
      <c r="L18" s="53" t="s">
        <v>169</v>
      </c>
      <c r="M18" s="55">
        <f>SUM(M4:M17)</f>
        <v>2178682.8350001085</v>
      </c>
      <c r="N18" s="55">
        <f>SUM(N4:N17)</f>
        <v>-1120799.5800000029</v>
      </c>
    </row>
    <row r="19" spans="1:14" x14ac:dyDescent="0.25">
      <c r="A19" s="18">
        <v>15</v>
      </c>
      <c r="B19" s="16" t="s">
        <v>32</v>
      </c>
      <c r="C19" s="16" t="s">
        <v>33</v>
      </c>
      <c r="D19" s="17"/>
      <c r="E19" s="2">
        <v>11916044.329999994</v>
      </c>
      <c r="F19" s="2">
        <v>29050149.395000003</v>
      </c>
      <c r="L19" s="53" t="s">
        <v>170</v>
      </c>
      <c r="M19" s="55">
        <f>SUM(E7,E9)</f>
        <v>124879.51999999891</v>
      </c>
      <c r="N19" s="55">
        <f>+M20</f>
        <v>2303562.3550000042</v>
      </c>
    </row>
    <row r="20" spans="1:14" x14ac:dyDescent="0.25">
      <c r="A20" s="18">
        <v>150</v>
      </c>
      <c r="B20" s="16"/>
      <c r="C20" s="19" t="s">
        <v>7</v>
      </c>
      <c r="D20" s="17" t="s">
        <v>34</v>
      </c>
      <c r="E20" s="20">
        <v>2871701.7899999986</v>
      </c>
      <c r="F20" s="20">
        <v>7900230.2900000047</v>
      </c>
      <c r="L20" s="53" t="s">
        <v>171</v>
      </c>
      <c r="M20" s="55">
        <f>SUM(F7,F9)</f>
        <v>2303562.3550000042</v>
      </c>
      <c r="N20" s="55">
        <f>+N18+N19</f>
        <v>1182762.7750000013</v>
      </c>
    </row>
    <row r="21" spans="1:14" x14ac:dyDescent="0.25">
      <c r="A21" s="18">
        <v>151</v>
      </c>
      <c r="B21" s="16"/>
      <c r="C21" s="19" t="s">
        <v>9</v>
      </c>
      <c r="D21" s="17" t="s">
        <v>35</v>
      </c>
      <c r="E21" s="20">
        <v>512261.09000000125</v>
      </c>
      <c r="F21" s="20">
        <v>2471730.6399999969</v>
      </c>
      <c r="L21" s="53" t="s">
        <v>169</v>
      </c>
      <c r="M21" s="55">
        <f>+M20-M19</f>
        <v>2178682.8350000051</v>
      </c>
      <c r="N21" s="55">
        <f>+N20-N19</f>
        <v>-1120799.5800000029</v>
      </c>
    </row>
    <row r="22" spans="1:14" x14ac:dyDescent="0.25">
      <c r="A22" s="18">
        <v>152</v>
      </c>
      <c r="B22" s="16"/>
      <c r="C22" s="19" t="s">
        <v>11</v>
      </c>
      <c r="D22" s="17" t="s">
        <v>36</v>
      </c>
      <c r="E22" s="20">
        <v>5248033.6149999946</v>
      </c>
      <c r="F22" s="20">
        <v>12932496.115</v>
      </c>
    </row>
    <row r="23" spans="1:14" x14ac:dyDescent="0.25">
      <c r="A23" s="18">
        <v>153</v>
      </c>
      <c r="B23" s="16"/>
      <c r="C23" s="19" t="s">
        <v>13</v>
      </c>
      <c r="D23" s="17" t="s">
        <v>37</v>
      </c>
      <c r="E23" s="20">
        <v>2805960.5700000003</v>
      </c>
      <c r="F23" s="20">
        <v>5576603.7950000009</v>
      </c>
    </row>
    <row r="24" spans="1:14" x14ac:dyDescent="0.25">
      <c r="A24" s="18">
        <v>157</v>
      </c>
      <c r="B24" s="16"/>
      <c r="C24" s="19" t="s">
        <v>14</v>
      </c>
      <c r="D24" s="17" t="s">
        <v>38</v>
      </c>
      <c r="E24" s="20">
        <v>478087.26500000013</v>
      </c>
      <c r="F24" s="20">
        <v>169088.55500000002</v>
      </c>
    </row>
    <row r="25" spans="1:14" x14ac:dyDescent="0.25">
      <c r="A25" s="15">
        <v>18</v>
      </c>
      <c r="B25" s="16" t="s">
        <v>43</v>
      </c>
      <c r="C25" s="16" t="s">
        <v>44</v>
      </c>
      <c r="D25" s="17"/>
      <c r="E25" s="2">
        <v>32530.919999999984</v>
      </c>
      <c r="F25" s="2">
        <v>72174.370000000054</v>
      </c>
    </row>
    <row r="26" spans="1:14" x14ac:dyDescent="0.25">
      <c r="A26" s="18">
        <v>180</v>
      </c>
      <c r="B26" s="16"/>
      <c r="C26" s="19" t="s">
        <v>7</v>
      </c>
      <c r="D26" s="17" t="s">
        <v>45</v>
      </c>
      <c r="E26" s="20">
        <v>3561.9899999999834</v>
      </c>
      <c r="F26" s="20">
        <v>5900.6100000000424</v>
      </c>
    </row>
    <row r="27" spans="1:14" x14ac:dyDescent="0.25">
      <c r="A27" s="18">
        <v>181</v>
      </c>
      <c r="B27" s="16"/>
      <c r="C27" s="19" t="s">
        <v>9</v>
      </c>
      <c r="D27" s="17" t="s">
        <v>46</v>
      </c>
      <c r="E27" s="3">
        <v>28968.93</v>
      </c>
      <c r="F27" s="3">
        <v>66273.760000000009</v>
      </c>
    </row>
    <row r="28" spans="1:14" x14ac:dyDescent="0.25">
      <c r="A28" s="15">
        <v>19</v>
      </c>
      <c r="B28" s="16" t="s">
        <v>47</v>
      </c>
      <c r="C28" s="16" t="s">
        <v>48</v>
      </c>
      <c r="D28" s="17"/>
      <c r="E28" s="2">
        <v>1611894.2449996469</v>
      </c>
      <c r="F28" s="2">
        <v>3981857.3800000027</v>
      </c>
    </row>
    <row r="29" spans="1:14" x14ac:dyDescent="0.25">
      <c r="A29" s="18">
        <v>190</v>
      </c>
      <c r="B29" s="16"/>
      <c r="C29" s="19" t="s">
        <v>7</v>
      </c>
      <c r="D29" s="17" t="s">
        <v>49</v>
      </c>
      <c r="E29" s="20">
        <v>172618.51500000001</v>
      </c>
      <c r="F29" s="20">
        <v>2287551.67</v>
      </c>
    </row>
    <row r="30" spans="1:14" x14ac:dyDescent="0.25">
      <c r="A30" s="18">
        <v>191</v>
      </c>
      <c r="B30" s="16"/>
      <c r="C30" s="19" t="s">
        <v>9</v>
      </c>
      <c r="D30" s="17" t="s">
        <v>50</v>
      </c>
      <c r="E30" s="3">
        <v>0</v>
      </c>
      <c r="F30" s="3">
        <v>901452.80000000144</v>
      </c>
    </row>
    <row r="31" spans="1:14" x14ac:dyDescent="0.25">
      <c r="A31" s="18">
        <v>192</v>
      </c>
      <c r="B31" s="16"/>
      <c r="C31" s="19" t="s">
        <v>11</v>
      </c>
      <c r="D31" s="17" t="s">
        <v>51</v>
      </c>
      <c r="E31" s="20">
        <v>5816.4</v>
      </c>
      <c r="F31" s="20">
        <v>0</v>
      </c>
    </row>
    <row r="32" spans="1:14" x14ac:dyDescent="0.25">
      <c r="A32" s="18">
        <v>196</v>
      </c>
      <c r="B32" s="16"/>
      <c r="C32" s="19" t="s">
        <v>39</v>
      </c>
      <c r="D32" s="17" t="s">
        <v>52</v>
      </c>
      <c r="E32" s="3">
        <v>1557073.5250000001</v>
      </c>
      <c r="F32" s="3">
        <v>1516772.5049999999</v>
      </c>
    </row>
    <row r="33" spans="1:6" x14ac:dyDescent="0.25">
      <c r="A33" s="18">
        <v>198</v>
      </c>
      <c r="B33" s="16"/>
      <c r="C33" s="19" t="s">
        <v>31</v>
      </c>
      <c r="D33" s="17" t="s">
        <v>53</v>
      </c>
      <c r="E33" s="3">
        <v>-123614.19500035024</v>
      </c>
      <c r="F33" s="3">
        <v>-723919.59499999892</v>
      </c>
    </row>
    <row r="34" spans="1:6" x14ac:dyDescent="0.25">
      <c r="A34" s="15">
        <v>2</v>
      </c>
      <c r="B34" s="16" t="s">
        <v>54</v>
      </c>
      <c r="C34" s="16"/>
      <c r="D34" s="17"/>
      <c r="E34" s="21">
        <v>12945158.225</v>
      </c>
      <c r="F34" s="21">
        <v>15586788.405000003</v>
      </c>
    </row>
    <row r="35" spans="1:6" x14ac:dyDescent="0.25">
      <c r="A35" s="15">
        <v>24</v>
      </c>
      <c r="B35" s="16" t="s">
        <v>16</v>
      </c>
      <c r="C35" s="16" t="s">
        <v>55</v>
      </c>
      <c r="D35" s="17"/>
      <c r="E35" s="2">
        <v>375500</v>
      </c>
      <c r="F35" s="2">
        <v>350000</v>
      </c>
    </row>
    <row r="36" spans="1:6" x14ac:dyDescent="0.25">
      <c r="A36" s="18">
        <v>245</v>
      </c>
      <c r="B36" s="16"/>
      <c r="C36" s="19" t="s">
        <v>39</v>
      </c>
      <c r="D36" s="17" t="s">
        <v>56</v>
      </c>
      <c r="E36" s="3">
        <v>375500</v>
      </c>
      <c r="F36" s="3">
        <v>350000</v>
      </c>
    </row>
    <row r="37" spans="1:6" x14ac:dyDescent="0.25">
      <c r="A37" s="15">
        <v>25</v>
      </c>
      <c r="B37" s="16" t="s">
        <v>27</v>
      </c>
      <c r="C37" s="16" t="s">
        <v>57</v>
      </c>
      <c r="D37" s="17"/>
      <c r="E37" s="2">
        <v>9903539.4249999989</v>
      </c>
      <c r="F37" s="2">
        <v>11485827.130000003</v>
      </c>
    </row>
    <row r="38" spans="1:6" x14ac:dyDescent="0.25">
      <c r="A38" s="18">
        <v>250</v>
      </c>
      <c r="B38" s="16"/>
      <c r="C38" s="19" t="s">
        <v>7</v>
      </c>
      <c r="D38" s="17" t="s">
        <v>58</v>
      </c>
      <c r="E38" s="3">
        <v>714744.17500000005</v>
      </c>
      <c r="F38" s="3">
        <v>714744.17500000005</v>
      </c>
    </row>
    <row r="39" spans="1:6" x14ac:dyDescent="0.25">
      <c r="A39" s="18">
        <v>252</v>
      </c>
      <c r="B39" s="16"/>
      <c r="C39" s="19" t="s">
        <v>11</v>
      </c>
      <c r="D39" s="17" t="s">
        <v>59</v>
      </c>
      <c r="E39" s="3">
        <v>5003141.75</v>
      </c>
      <c r="F39" s="3">
        <v>5003141.75</v>
      </c>
    </row>
    <row r="40" spans="1:6" x14ac:dyDescent="0.25">
      <c r="A40" s="18">
        <v>253</v>
      </c>
      <c r="B40" s="16"/>
      <c r="C40" s="19" t="s">
        <v>13</v>
      </c>
      <c r="D40" s="17" t="s">
        <v>60</v>
      </c>
      <c r="E40" s="20">
        <v>5563842.1150000002</v>
      </c>
      <c r="F40" s="20">
        <v>5748359.5700000003</v>
      </c>
    </row>
    <row r="41" spans="1:6" x14ac:dyDescent="0.25">
      <c r="A41" s="18">
        <v>254</v>
      </c>
      <c r="B41" s="16"/>
      <c r="C41" s="19" t="s">
        <v>14</v>
      </c>
      <c r="D41" s="17" t="s">
        <v>61</v>
      </c>
      <c r="E41" s="20">
        <v>580109.49</v>
      </c>
      <c r="F41" s="20">
        <v>2096668.75</v>
      </c>
    </row>
    <row r="42" spans="1:6" x14ac:dyDescent="0.25">
      <c r="A42" s="18">
        <v>255</v>
      </c>
      <c r="B42" s="16"/>
      <c r="C42" s="19" t="s">
        <v>39</v>
      </c>
      <c r="D42" s="17" t="s">
        <v>62</v>
      </c>
      <c r="E42" s="20">
        <v>3469109.8899999987</v>
      </c>
      <c r="F42" s="20">
        <v>3932826.5350000006</v>
      </c>
    </row>
    <row r="43" spans="1:6" x14ac:dyDescent="0.25">
      <c r="A43" s="18">
        <v>257</v>
      </c>
      <c r="B43" s="16"/>
      <c r="C43" s="19" t="s">
        <v>31</v>
      </c>
      <c r="D43" s="17" t="s">
        <v>63</v>
      </c>
      <c r="E43" s="20">
        <v>-5427407.9949999992</v>
      </c>
      <c r="F43" s="20">
        <v>-6009913.6499999994</v>
      </c>
    </row>
    <row r="44" spans="1:6" x14ac:dyDescent="0.25">
      <c r="A44" s="15">
        <v>26</v>
      </c>
      <c r="B44" s="16" t="s">
        <v>32</v>
      </c>
      <c r="C44" s="16" t="s">
        <v>64</v>
      </c>
      <c r="D44" s="17"/>
      <c r="E44" s="2">
        <v>2420122.6300000004</v>
      </c>
      <c r="F44" s="2">
        <v>3375648.05</v>
      </c>
    </row>
    <row r="45" spans="1:6" x14ac:dyDescent="0.25">
      <c r="A45" s="18">
        <v>260</v>
      </c>
      <c r="B45" s="16"/>
      <c r="C45" s="19" t="s">
        <v>7</v>
      </c>
      <c r="D45" s="17" t="s">
        <v>65</v>
      </c>
      <c r="E45" s="20">
        <v>2163100.4750000001</v>
      </c>
      <c r="F45" s="20">
        <v>3439221.1549999998</v>
      </c>
    </row>
    <row r="46" spans="1:6" x14ac:dyDescent="0.25">
      <c r="A46" s="18">
        <v>264</v>
      </c>
      <c r="B46" s="16"/>
      <c r="C46" s="19" t="s">
        <v>14</v>
      </c>
      <c r="D46" s="17" t="s">
        <v>66</v>
      </c>
      <c r="E46" s="20">
        <v>1655220.925</v>
      </c>
      <c r="F46" s="20">
        <v>1798024.1400000001</v>
      </c>
    </row>
    <row r="47" spans="1:6" x14ac:dyDescent="0.25">
      <c r="A47" s="18">
        <v>268</v>
      </c>
      <c r="B47" s="16"/>
      <c r="C47" s="19" t="s">
        <v>30</v>
      </c>
      <c r="D47" s="22" t="s">
        <v>63</v>
      </c>
      <c r="E47" s="20">
        <v>-1398198.77</v>
      </c>
      <c r="F47" s="20">
        <v>-1861597.2449999999</v>
      </c>
    </row>
    <row r="48" spans="1:6" x14ac:dyDescent="0.25">
      <c r="A48" s="15">
        <v>28</v>
      </c>
      <c r="B48" s="16" t="s">
        <v>43</v>
      </c>
      <c r="C48" s="16" t="s">
        <v>68</v>
      </c>
      <c r="D48" s="17"/>
      <c r="E48" s="2">
        <v>245996.16999999993</v>
      </c>
      <c r="F48" s="2">
        <v>375313.22499999998</v>
      </c>
    </row>
    <row r="49" spans="1:9" x14ac:dyDescent="0.25">
      <c r="A49" s="44">
        <v>280</v>
      </c>
      <c r="B49" s="41"/>
      <c r="C49" s="40" t="s">
        <v>7</v>
      </c>
      <c r="D49" s="45" t="s">
        <v>69</v>
      </c>
      <c r="E49" s="46">
        <v>245996.16999999993</v>
      </c>
      <c r="F49" s="46">
        <v>375313.22499999998</v>
      </c>
    </row>
    <row r="50" spans="1:9" x14ac:dyDescent="0.25">
      <c r="A50" s="24"/>
      <c r="B50" s="16"/>
      <c r="C50" s="16"/>
      <c r="D50" s="16"/>
      <c r="E50" s="25"/>
      <c r="F50" s="25"/>
      <c r="H50" s="25"/>
      <c r="I50" s="25"/>
    </row>
    <row r="51" spans="1:9" x14ac:dyDescent="0.25">
      <c r="E51" s="26"/>
      <c r="F51" s="26"/>
    </row>
    <row r="52" spans="1:9" x14ac:dyDescent="0.25">
      <c r="A52" s="10" t="s">
        <v>1</v>
      </c>
      <c r="B52" s="11"/>
      <c r="C52" s="11"/>
      <c r="D52" s="11"/>
      <c r="E52" s="13" t="s">
        <v>147</v>
      </c>
      <c r="F52" s="13" t="s">
        <v>148</v>
      </c>
    </row>
    <row r="53" spans="1:9" x14ac:dyDescent="0.25">
      <c r="A53" s="78" t="s">
        <v>70</v>
      </c>
      <c r="B53" s="79"/>
      <c r="C53" s="79"/>
      <c r="D53" s="79"/>
      <c r="E53" s="1">
        <v>59744788.709999762</v>
      </c>
      <c r="F53" s="1">
        <v>105495867.72</v>
      </c>
    </row>
    <row r="54" spans="1:9" x14ac:dyDescent="0.25">
      <c r="A54" s="14">
        <v>3</v>
      </c>
      <c r="B54" s="80" t="s">
        <v>71</v>
      </c>
      <c r="C54" s="81"/>
      <c r="D54" s="81"/>
      <c r="E54" s="1">
        <v>61640052.379999965</v>
      </c>
      <c r="F54" s="1">
        <v>99800854.290000007</v>
      </c>
    </row>
    <row r="55" spans="1:9" x14ac:dyDescent="0.25">
      <c r="A55" s="15">
        <v>30</v>
      </c>
      <c r="B55" s="16" t="s">
        <v>5</v>
      </c>
      <c r="C55" s="76" t="s">
        <v>72</v>
      </c>
      <c r="D55" s="77"/>
      <c r="E55" s="2">
        <v>13440147.694999997</v>
      </c>
      <c r="F55" s="2">
        <v>270014.20000000292</v>
      </c>
    </row>
    <row r="56" spans="1:9" x14ac:dyDescent="0.25">
      <c r="A56" s="18">
        <v>300</v>
      </c>
      <c r="B56" s="16"/>
      <c r="C56" s="19" t="s">
        <v>7</v>
      </c>
      <c r="D56" s="17" t="s">
        <v>73</v>
      </c>
      <c r="E56" s="20">
        <v>12500931.339999996</v>
      </c>
      <c r="F56" s="20">
        <v>2.5174813345074654E-9</v>
      </c>
    </row>
    <row r="57" spans="1:9" x14ac:dyDescent="0.25">
      <c r="A57" s="18">
        <v>301</v>
      </c>
      <c r="B57" s="16"/>
      <c r="C57" s="19" t="s">
        <v>41</v>
      </c>
      <c r="D57" s="17" t="s">
        <v>74</v>
      </c>
      <c r="E57" s="20">
        <v>209872.80999999997</v>
      </c>
      <c r="F57" s="20">
        <v>0</v>
      </c>
    </row>
    <row r="58" spans="1:9" x14ac:dyDescent="0.25">
      <c r="A58" s="18">
        <v>309</v>
      </c>
      <c r="B58" s="16"/>
      <c r="C58" s="19" t="s">
        <v>76</v>
      </c>
      <c r="D58" s="17" t="s">
        <v>77</v>
      </c>
      <c r="E58" s="20">
        <v>729343.54499999993</v>
      </c>
      <c r="F58" s="20">
        <v>270014.20000000042</v>
      </c>
    </row>
    <row r="59" spans="1:9" x14ac:dyDescent="0.25">
      <c r="A59" s="15">
        <v>32</v>
      </c>
      <c r="B59" s="16" t="s">
        <v>78</v>
      </c>
      <c r="C59" s="27" t="s">
        <v>79</v>
      </c>
      <c r="D59" s="17"/>
      <c r="E59" s="2">
        <v>41836286.210000001</v>
      </c>
      <c r="F59" s="2">
        <v>93781224.400000006</v>
      </c>
    </row>
    <row r="60" spans="1:9" x14ac:dyDescent="0.25">
      <c r="A60" s="18">
        <v>320</v>
      </c>
      <c r="B60" s="16"/>
      <c r="C60" s="19" t="s">
        <v>7</v>
      </c>
      <c r="D60" s="17" t="s">
        <v>80</v>
      </c>
      <c r="E60" s="20">
        <v>1306617.2850000001</v>
      </c>
      <c r="F60" s="20">
        <v>-811254.06499999831</v>
      </c>
    </row>
    <row r="61" spans="1:9" x14ac:dyDescent="0.25">
      <c r="A61" s="18">
        <v>321</v>
      </c>
      <c r="B61" s="16"/>
      <c r="C61" s="19" t="s">
        <v>9</v>
      </c>
      <c r="D61" s="17" t="s">
        <v>81</v>
      </c>
      <c r="E61" s="3">
        <v>39858709</v>
      </c>
      <c r="F61" s="3">
        <v>93769634.5</v>
      </c>
    </row>
    <row r="62" spans="1:9" x14ac:dyDescent="0.25">
      <c r="A62" s="18">
        <v>326</v>
      </c>
      <c r="B62" s="16"/>
      <c r="C62" s="19" t="s">
        <v>13</v>
      </c>
      <c r="D62" s="17" t="s">
        <v>82</v>
      </c>
      <c r="E62" s="3">
        <v>247184.85000000006</v>
      </c>
      <c r="F62" s="3">
        <v>295943.17499999999</v>
      </c>
    </row>
    <row r="63" spans="1:9" x14ac:dyDescent="0.25">
      <c r="A63" s="18">
        <v>329</v>
      </c>
      <c r="B63" s="16"/>
      <c r="C63" s="19" t="s">
        <v>14</v>
      </c>
      <c r="D63" s="17" t="s">
        <v>83</v>
      </c>
      <c r="E63" s="20">
        <v>423775.07500000001</v>
      </c>
      <c r="F63" s="20">
        <v>526900.79000000027</v>
      </c>
    </row>
    <row r="64" spans="1:9" x14ac:dyDescent="0.25">
      <c r="A64" s="15">
        <v>33</v>
      </c>
      <c r="B64" s="16" t="s">
        <v>16</v>
      </c>
      <c r="C64" s="27" t="s">
        <v>84</v>
      </c>
      <c r="D64" s="17"/>
      <c r="E64" s="2">
        <v>3368457.8400000012</v>
      </c>
      <c r="F64" s="2">
        <v>2026563.8799999962</v>
      </c>
    </row>
    <row r="65" spans="1:12" x14ac:dyDescent="0.25">
      <c r="A65" s="18">
        <v>331</v>
      </c>
      <c r="B65" s="16"/>
      <c r="C65" s="19" t="s">
        <v>7</v>
      </c>
      <c r="D65" s="17" t="s">
        <v>85</v>
      </c>
      <c r="E65" s="20">
        <v>-143209.05000000005</v>
      </c>
      <c r="F65" s="20">
        <v>-143209.04999999999</v>
      </c>
    </row>
    <row r="66" spans="1:12" x14ac:dyDescent="0.25">
      <c r="A66" s="18">
        <v>335</v>
      </c>
      <c r="B66" s="16"/>
      <c r="C66" s="19" t="s">
        <v>13</v>
      </c>
      <c r="D66" s="17" t="s">
        <v>86</v>
      </c>
      <c r="E66" s="3">
        <v>395286.28499999992</v>
      </c>
      <c r="F66" s="3">
        <v>1025837.885</v>
      </c>
    </row>
    <row r="67" spans="1:12" x14ac:dyDescent="0.25">
      <c r="A67" s="18">
        <v>339</v>
      </c>
      <c r="B67" s="16"/>
      <c r="C67" s="19" t="s">
        <v>14</v>
      </c>
      <c r="D67" s="17" t="s">
        <v>87</v>
      </c>
      <c r="E67" s="3">
        <v>3116380.6050000014</v>
      </c>
      <c r="F67" s="3">
        <v>1143935.0449999962</v>
      </c>
    </row>
    <row r="68" spans="1:12" x14ac:dyDescent="0.25">
      <c r="A68" s="15">
        <v>34</v>
      </c>
      <c r="B68" s="16" t="s">
        <v>27</v>
      </c>
      <c r="C68" s="27" t="s">
        <v>88</v>
      </c>
      <c r="D68" s="17"/>
      <c r="E68" s="2">
        <v>913700.16999999993</v>
      </c>
      <c r="F68" s="2">
        <v>913700.17000000016</v>
      </c>
    </row>
    <row r="69" spans="1:12" x14ac:dyDescent="0.25">
      <c r="A69" s="18">
        <v>340</v>
      </c>
      <c r="B69" s="16"/>
      <c r="C69" s="27" t="s">
        <v>67</v>
      </c>
      <c r="D69" s="17" t="s">
        <v>89</v>
      </c>
      <c r="E69" s="3">
        <v>913700.16999999993</v>
      </c>
      <c r="F69" s="3">
        <v>913700.17000000016</v>
      </c>
    </row>
    <row r="70" spans="1:12" x14ac:dyDescent="0.25">
      <c r="A70" s="15">
        <v>36</v>
      </c>
      <c r="B70" s="16" t="s">
        <v>40</v>
      </c>
      <c r="C70" s="27" t="s">
        <v>90</v>
      </c>
      <c r="D70" s="17"/>
      <c r="E70" s="2">
        <v>1811312.5099999998</v>
      </c>
      <c r="F70" s="2">
        <v>1561704.2399999991</v>
      </c>
    </row>
    <row r="71" spans="1:12" x14ac:dyDescent="0.25">
      <c r="A71" s="18">
        <v>360</v>
      </c>
      <c r="B71" s="16"/>
      <c r="C71" s="19" t="s">
        <v>7</v>
      </c>
      <c r="D71" s="17" t="s">
        <v>91</v>
      </c>
      <c r="E71" s="20">
        <v>1811312.5099999998</v>
      </c>
      <c r="F71" s="20">
        <v>1561704.2399999991</v>
      </c>
    </row>
    <row r="72" spans="1:12" x14ac:dyDescent="0.25">
      <c r="A72" s="15">
        <v>38</v>
      </c>
      <c r="B72" s="16" t="s">
        <v>47</v>
      </c>
      <c r="C72" s="27" t="s">
        <v>92</v>
      </c>
      <c r="D72" s="17"/>
      <c r="E72" s="2">
        <v>270147.95499999961</v>
      </c>
      <c r="F72" s="2">
        <v>651453.69999999879</v>
      </c>
    </row>
    <row r="73" spans="1:12" x14ac:dyDescent="0.25">
      <c r="A73" s="18">
        <v>381</v>
      </c>
      <c r="B73" s="16"/>
      <c r="C73" s="19" t="s">
        <v>9</v>
      </c>
      <c r="D73" s="17" t="s">
        <v>93</v>
      </c>
      <c r="E73" s="3">
        <v>270147.95499999961</v>
      </c>
      <c r="F73" s="3">
        <v>651453.69999999879</v>
      </c>
    </row>
    <row r="74" spans="1:12" x14ac:dyDescent="0.25">
      <c r="A74" s="15">
        <v>39</v>
      </c>
      <c r="B74" s="16" t="s">
        <v>3</v>
      </c>
      <c r="C74" s="27" t="s">
        <v>94</v>
      </c>
      <c r="D74" s="17"/>
      <c r="E74" s="2">
        <v>0</v>
      </c>
      <c r="F74" s="2">
        <v>596193.69999999774</v>
      </c>
    </row>
    <row r="75" spans="1:12" x14ac:dyDescent="0.25">
      <c r="A75" s="18">
        <v>391</v>
      </c>
      <c r="B75" s="16"/>
      <c r="C75" s="19" t="s">
        <v>7</v>
      </c>
      <c r="D75" s="17" t="s">
        <v>95</v>
      </c>
      <c r="E75" s="3">
        <v>0</v>
      </c>
      <c r="F75" s="3">
        <v>596193.69999999774</v>
      </c>
    </row>
    <row r="76" spans="1:12" x14ac:dyDescent="0.25">
      <c r="A76" s="15">
        <v>4</v>
      </c>
      <c r="B76" s="16" t="s">
        <v>96</v>
      </c>
      <c r="C76" s="24"/>
      <c r="D76" s="17"/>
      <c r="E76" s="21">
        <v>633758.89999999944</v>
      </c>
      <c r="F76" s="21">
        <v>10493281.664999999</v>
      </c>
    </row>
    <row r="77" spans="1:12" x14ac:dyDescent="0.25">
      <c r="A77" s="15">
        <v>40</v>
      </c>
      <c r="B77" s="16" t="s">
        <v>5</v>
      </c>
      <c r="C77" s="27" t="s">
        <v>72</v>
      </c>
      <c r="D77" s="17"/>
      <c r="E77" s="2">
        <v>633758.89999999944</v>
      </c>
      <c r="F77" s="2">
        <v>10493281.664999999</v>
      </c>
    </row>
    <row r="78" spans="1:12" x14ac:dyDescent="0.25">
      <c r="A78" s="18">
        <v>400</v>
      </c>
      <c r="B78" s="16"/>
      <c r="C78" s="19" t="s">
        <v>7</v>
      </c>
      <c r="D78" s="17" t="s">
        <v>73</v>
      </c>
      <c r="E78" s="20">
        <v>487802.89999999944</v>
      </c>
      <c r="F78" s="20">
        <v>9287082.2850000001</v>
      </c>
    </row>
    <row r="79" spans="1:12" x14ac:dyDescent="0.25">
      <c r="A79" s="18">
        <v>401</v>
      </c>
      <c r="B79" s="16"/>
      <c r="C79" s="19" t="s">
        <v>41</v>
      </c>
      <c r="D79" s="17" t="s">
        <v>74</v>
      </c>
      <c r="E79" s="20">
        <v>290499.05</v>
      </c>
      <c r="F79" s="20">
        <v>1659553.0649999999</v>
      </c>
    </row>
    <row r="80" spans="1:12" x14ac:dyDescent="0.25">
      <c r="A80" s="18">
        <v>402</v>
      </c>
      <c r="B80" s="16"/>
      <c r="C80" s="19" t="s">
        <v>42</v>
      </c>
      <c r="D80" s="17" t="s">
        <v>75</v>
      </c>
      <c r="E80" s="20">
        <v>-144543.04999999999</v>
      </c>
      <c r="F80" s="20">
        <v>-453353.68500000006</v>
      </c>
      <c r="I80"/>
      <c r="J80"/>
      <c r="K80"/>
      <c r="L80"/>
    </row>
    <row r="81" spans="1:12" x14ac:dyDescent="0.25">
      <c r="A81" s="15">
        <v>5</v>
      </c>
      <c r="B81" s="16" t="s">
        <v>97</v>
      </c>
      <c r="C81" s="24"/>
      <c r="D81" s="17"/>
      <c r="E81" s="21">
        <v>-2529022.5700002043</v>
      </c>
      <c r="F81" s="21">
        <v>-4798268.2350000031</v>
      </c>
      <c r="I81"/>
      <c r="J81"/>
      <c r="K81"/>
      <c r="L81"/>
    </row>
    <row r="82" spans="1:12" x14ac:dyDescent="0.25">
      <c r="A82" s="15">
        <v>50</v>
      </c>
      <c r="B82" s="16" t="s">
        <v>5</v>
      </c>
      <c r="C82" s="27" t="s">
        <v>98</v>
      </c>
      <c r="D82" s="17"/>
      <c r="E82" s="2">
        <v>8388176</v>
      </c>
      <c r="F82" s="2">
        <v>8388176</v>
      </c>
      <c r="I82"/>
      <c r="J82"/>
      <c r="K82"/>
      <c r="L82"/>
    </row>
    <row r="83" spans="1:12" x14ac:dyDescent="0.25">
      <c r="A83" s="18">
        <v>500</v>
      </c>
      <c r="B83" s="16"/>
      <c r="C83" s="19" t="s">
        <v>7</v>
      </c>
      <c r="D83" s="17" t="s">
        <v>99</v>
      </c>
      <c r="E83" s="20">
        <v>8388176</v>
      </c>
      <c r="F83" s="20">
        <v>8388176</v>
      </c>
      <c r="I83"/>
      <c r="J83"/>
      <c r="K83"/>
      <c r="L83"/>
    </row>
    <row r="84" spans="1:12" x14ac:dyDescent="0.25">
      <c r="A84" s="15">
        <v>52</v>
      </c>
      <c r="B84" s="16" t="s">
        <v>78</v>
      </c>
      <c r="C84" s="27" t="s">
        <v>100</v>
      </c>
      <c r="D84" s="17"/>
      <c r="E84" s="2">
        <v>6542454.8600000003</v>
      </c>
      <c r="F84" s="2">
        <v>6572753.9000000004</v>
      </c>
    </row>
    <row r="85" spans="1:12" x14ac:dyDescent="0.25">
      <c r="A85" s="18">
        <v>522</v>
      </c>
      <c r="B85" s="16"/>
      <c r="C85" s="19" t="s">
        <v>42</v>
      </c>
      <c r="D85" s="17" t="s">
        <v>101</v>
      </c>
      <c r="E85" s="3">
        <v>6470551.29</v>
      </c>
      <c r="F85" s="3">
        <v>6470551.29</v>
      </c>
    </row>
    <row r="86" spans="1:12" x14ac:dyDescent="0.25">
      <c r="A86" s="15">
        <v>54</v>
      </c>
      <c r="B86" s="16"/>
      <c r="C86" s="19" t="s">
        <v>22</v>
      </c>
      <c r="D86" s="17" t="s">
        <v>102</v>
      </c>
      <c r="E86" s="3">
        <v>71903.570000000007</v>
      </c>
      <c r="F86" s="3">
        <v>102202.61</v>
      </c>
    </row>
    <row r="87" spans="1:12" x14ac:dyDescent="0.25">
      <c r="A87" s="18">
        <v>540</v>
      </c>
      <c r="B87" s="16" t="s">
        <v>16</v>
      </c>
      <c r="C87" s="27" t="s">
        <v>103</v>
      </c>
      <c r="D87" s="17"/>
      <c r="E87" s="2">
        <v>0</v>
      </c>
      <c r="F87" s="2">
        <v>0</v>
      </c>
    </row>
    <row r="88" spans="1:12" x14ac:dyDescent="0.25">
      <c r="A88" s="15">
        <v>57</v>
      </c>
      <c r="B88" s="16" t="s">
        <v>27</v>
      </c>
      <c r="C88" s="27" t="s">
        <v>104</v>
      </c>
      <c r="D88" s="17"/>
      <c r="E88" s="29">
        <v>898056.33</v>
      </c>
      <c r="F88" s="29">
        <v>867757.28999999992</v>
      </c>
    </row>
    <row r="89" spans="1:12" x14ac:dyDescent="0.25">
      <c r="A89" s="15">
        <v>58</v>
      </c>
      <c r="B89" s="16" t="s">
        <v>32</v>
      </c>
      <c r="C89" s="27" t="s">
        <v>105</v>
      </c>
      <c r="D89" s="17"/>
      <c r="E89" s="29">
        <v>-12839326.43</v>
      </c>
      <c r="F89" s="29">
        <v>-18460251.715</v>
      </c>
    </row>
    <row r="90" spans="1:12" x14ac:dyDescent="0.25">
      <c r="A90" s="47">
        <v>59</v>
      </c>
      <c r="B90" s="41" t="s">
        <v>40</v>
      </c>
      <c r="C90" s="48" t="s">
        <v>106</v>
      </c>
      <c r="D90" s="45"/>
      <c r="E90" s="49">
        <v>-5518383.330000204</v>
      </c>
      <c r="F90" s="49">
        <v>-2166703.7100000032</v>
      </c>
    </row>
    <row r="91" spans="1:12" x14ac:dyDescent="0.25">
      <c r="A91" s="24"/>
      <c r="B91" s="16"/>
      <c r="C91" s="24"/>
      <c r="D91" s="16"/>
      <c r="E91" s="25"/>
      <c r="F91" s="25"/>
    </row>
    <row r="92" spans="1:12" x14ac:dyDescent="0.25">
      <c r="D92" s="10"/>
      <c r="E92" s="30"/>
      <c r="F92" s="30"/>
    </row>
    <row r="93" spans="1:12" x14ac:dyDescent="0.25">
      <c r="D93" s="10"/>
      <c r="E93" s="30"/>
      <c r="F93" s="30"/>
    </row>
    <row r="94" spans="1:12" x14ac:dyDescent="0.25">
      <c r="E94" s="26"/>
      <c r="F94" s="26"/>
    </row>
    <row r="95" spans="1:12" x14ac:dyDescent="0.25">
      <c r="E95" s="4"/>
      <c r="F95" s="4"/>
    </row>
    <row r="96" spans="1:12" x14ac:dyDescent="0.25">
      <c r="A96" s="31" t="s">
        <v>107</v>
      </c>
      <c r="B96" s="32"/>
      <c r="C96" s="32"/>
      <c r="D96" s="32"/>
      <c r="E96" s="33" t="s">
        <v>0</v>
      </c>
      <c r="F96" s="33" t="s">
        <v>146</v>
      </c>
    </row>
    <row r="97" spans="1:6" x14ac:dyDescent="0.25">
      <c r="A97" s="34">
        <v>60</v>
      </c>
      <c r="B97" s="19"/>
      <c r="C97" s="16" t="s">
        <v>108</v>
      </c>
      <c r="D97" s="16"/>
      <c r="E97" s="5">
        <v>137587261.31999981</v>
      </c>
      <c r="F97" s="5">
        <v>312397646.94500005</v>
      </c>
    </row>
    <row r="98" spans="1:6" x14ac:dyDescent="0.25">
      <c r="A98" s="35">
        <v>600</v>
      </c>
      <c r="B98" s="36" t="s">
        <v>109</v>
      </c>
      <c r="C98" s="17" t="s">
        <v>110</v>
      </c>
      <c r="D98" s="17"/>
      <c r="E98" s="20">
        <v>137587261.31999981</v>
      </c>
      <c r="F98" s="20">
        <v>312397646.94500005</v>
      </c>
    </row>
    <row r="99" spans="1:6" x14ac:dyDescent="0.25">
      <c r="A99" s="37">
        <v>61</v>
      </c>
      <c r="B99" s="19"/>
      <c r="C99" s="16" t="s">
        <v>113</v>
      </c>
      <c r="D99" s="16"/>
      <c r="E99" s="5">
        <v>-19113073.085000001</v>
      </c>
      <c r="F99" s="5">
        <v>-45921725.855000004</v>
      </c>
    </row>
    <row r="100" spans="1:6" x14ac:dyDescent="0.25">
      <c r="A100" s="35">
        <v>610</v>
      </c>
      <c r="B100" s="36" t="s">
        <v>109</v>
      </c>
      <c r="C100" s="17" t="s">
        <v>114</v>
      </c>
      <c r="D100" s="17"/>
      <c r="E100" s="6">
        <v>-949466.01500000374</v>
      </c>
      <c r="F100" s="6">
        <v>-1541527.2150000003</v>
      </c>
    </row>
    <row r="101" spans="1:6" x14ac:dyDescent="0.25">
      <c r="A101" s="35">
        <v>611</v>
      </c>
      <c r="B101" s="36" t="s">
        <v>111</v>
      </c>
      <c r="C101" s="17" t="s">
        <v>115</v>
      </c>
      <c r="D101" s="17"/>
      <c r="E101" s="20">
        <v>-16879364.934999999</v>
      </c>
      <c r="F101" s="20">
        <v>-42985098.450000003</v>
      </c>
    </row>
    <row r="102" spans="1:6" x14ac:dyDescent="0.25">
      <c r="A102" s="35">
        <v>612</v>
      </c>
      <c r="B102" s="36" t="s">
        <v>112</v>
      </c>
      <c r="C102" s="17" t="s">
        <v>116</v>
      </c>
      <c r="D102" s="17"/>
      <c r="E102" s="20">
        <v>-1284242.1349999998</v>
      </c>
      <c r="F102" s="20">
        <v>-1395100.19</v>
      </c>
    </row>
    <row r="103" spans="1:6" x14ac:dyDescent="0.25">
      <c r="A103" s="37"/>
      <c r="B103" s="19"/>
      <c r="C103" s="16" t="s">
        <v>117</v>
      </c>
      <c r="D103" s="16"/>
      <c r="E103" s="7">
        <v>118474188.23499981</v>
      </c>
      <c r="F103" s="7">
        <v>266475921.09000003</v>
      </c>
    </row>
    <row r="104" spans="1:6" x14ac:dyDescent="0.25">
      <c r="A104" s="37">
        <v>62</v>
      </c>
      <c r="B104" s="19"/>
      <c r="C104" s="27" t="s">
        <v>118</v>
      </c>
      <c r="D104" s="38"/>
      <c r="E104" s="5">
        <v>-107088308.035</v>
      </c>
      <c r="F104" s="5">
        <v>-242846141.67499998</v>
      </c>
    </row>
    <row r="105" spans="1:6" x14ac:dyDescent="0.25">
      <c r="A105" s="35">
        <v>620</v>
      </c>
      <c r="B105" s="36" t="s">
        <v>109</v>
      </c>
      <c r="C105" s="17" t="s">
        <v>119</v>
      </c>
      <c r="D105" s="17"/>
      <c r="E105" s="20">
        <v>-107088308.035</v>
      </c>
      <c r="F105" s="20">
        <v>-242846141.67499998</v>
      </c>
    </row>
    <row r="106" spans="1:6" x14ac:dyDescent="0.25">
      <c r="A106" s="37"/>
      <c r="B106" s="19"/>
      <c r="C106" s="16" t="s">
        <v>121</v>
      </c>
      <c r="D106" s="16"/>
      <c r="E106" s="5">
        <v>11385880.199999809</v>
      </c>
      <c r="F106" s="5">
        <v>23629779.415000051</v>
      </c>
    </row>
    <row r="107" spans="1:6" x14ac:dyDescent="0.25">
      <c r="A107" s="37">
        <v>63</v>
      </c>
      <c r="B107" s="19"/>
      <c r="C107" s="16" t="s">
        <v>122</v>
      </c>
      <c r="D107" s="16"/>
      <c r="E107" s="5">
        <v>-11464714.074999999</v>
      </c>
      <c r="F107" s="5">
        <v>-20512214.774999999</v>
      </c>
    </row>
    <row r="108" spans="1:6" x14ac:dyDescent="0.25">
      <c r="A108" s="35">
        <v>631</v>
      </c>
      <c r="B108" s="36" t="s">
        <v>111</v>
      </c>
      <c r="C108" s="28" t="s">
        <v>123</v>
      </c>
      <c r="D108" s="28"/>
      <c r="E108" s="6">
        <v>-7535120.0399999991</v>
      </c>
      <c r="F108" s="6">
        <v>-14083644.529999999</v>
      </c>
    </row>
    <row r="109" spans="1:6" x14ac:dyDescent="0.25">
      <c r="A109" s="35">
        <v>632</v>
      </c>
      <c r="B109" s="36" t="s">
        <v>112</v>
      </c>
      <c r="C109" s="17" t="s">
        <v>124</v>
      </c>
      <c r="D109" s="17"/>
      <c r="E109" s="20">
        <v>-3929594.0349999992</v>
      </c>
      <c r="F109" s="20">
        <v>-6428570.2449999992</v>
      </c>
    </row>
    <row r="110" spans="1:6" x14ac:dyDescent="0.25">
      <c r="A110" s="37"/>
      <c r="B110" s="19"/>
      <c r="C110" s="16" t="s">
        <v>125</v>
      </c>
      <c r="D110" s="16"/>
      <c r="E110" s="5">
        <v>-78833.87500018999</v>
      </c>
      <c r="F110" s="5">
        <v>3117564.6400000528</v>
      </c>
    </row>
    <row r="111" spans="1:6" x14ac:dyDescent="0.25">
      <c r="A111" s="37">
        <v>64</v>
      </c>
      <c r="B111" s="19"/>
      <c r="C111" s="16" t="s">
        <v>126</v>
      </c>
      <c r="D111" s="16"/>
      <c r="E111" s="5">
        <v>1428828.1300000001</v>
      </c>
      <c r="F111" s="5">
        <v>1422337.1950000001</v>
      </c>
    </row>
    <row r="112" spans="1:6" x14ac:dyDescent="0.25">
      <c r="A112" s="35">
        <v>649</v>
      </c>
      <c r="B112" s="36" t="s">
        <v>127</v>
      </c>
      <c r="C112" s="17" t="s">
        <v>128</v>
      </c>
      <c r="D112" s="17"/>
      <c r="E112" s="6">
        <v>1428828.1300000001</v>
      </c>
      <c r="F112" s="6">
        <v>1422337.1950000001</v>
      </c>
    </row>
    <row r="113" spans="1:6" x14ac:dyDescent="0.25">
      <c r="A113" s="37">
        <v>65</v>
      </c>
      <c r="B113" s="19"/>
      <c r="C113" s="16" t="s">
        <v>129</v>
      </c>
      <c r="D113" s="16"/>
      <c r="E113" s="5">
        <v>-3159086.9</v>
      </c>
      <c r="F113" s="5">
        <v>-2079600.06</v>
      </c>
    </row>
    <row r="114" spans="1:6" x14ac:dyDescent="0.25">
      <c r="A114" s="35">
        <v>656</v>
      </c>
      <c r="B114" s="36" t="s">
        <v>120</v>
      </c>
      <c r="C114" s="17" t="s">
        <v>130</v>
      </c>
      <c r="D114" s="17"/>
      <c r="E114" s="6">
        <v>-1980423.6</v>
      </c>
      <c r="F114" s="6">
        <v>-769327.07499999984</v>
      </c>
    </row>
    <row r="115" spans="1:6" x14ac:dyDescent="0.25">
      <c r="A115" s="35">
        <v>659</v>
      </c>
      <c r="B115" s="36" t="s">
        <v>131</v>
      </c>
      <c r="C115" s="17" t="s">
        <v>132</v>
      </c>
      <c r="D115" s="17"/>
      <c r="E115" s="6">
        <v>-1178663.2999999998</v>
      </c>
      <c r="F115" s="6">
        <v>-1310272.9850000003</v>
      </c>
    </row>
    <row r="116" spans="1:6" x14ac:dyDescent="0.25">
      <c r="A116" s="37">
        <v>66</v>
      </c>
      <c r="B116" s="19"/>
      <c r="C116" s="16" t="s">
        <v>133</v>
      </c>
      <c r="D116" s="16"/>
      <c r="E116" s="5">
        <v>-3680936.9199999995</v>
      </c>
      <c r="F116" s="5">
        <v>-4584742.9550000001</v>
      </c>
    </row>
    <row r="117" spans="1:6" x14ac:dyDescent="0.25">
      <c r="A117" s="35">
        <v>660</v>
      </c>
      <c r="B117" s="36" t="s">
        <v>109</v>
      </c>
      <c r="C117" s="17" t="s">
        <v>134</v>
      </c>
      <c r="D117" s="17"/>
      <c r="E117" s="20">
        <v>-3680936.9199999995</v>
      </c>
      <c r="F117" s="20">
        <v>-4584742.9550000001</v>
      </c>
    </row>
    <row r="118" spans="1:6" x14ac:dyDescent="0.25">
      <c r="A118" s="37"/>
      <c r="B118" s="19"/>
      <c r="C118" s="16" t="s">
        <v>135</v>
      </c>
      <c r="D118" s="16"/>
      <c r="E118" s="5">
        <v>-5490029.5650001895</v>
      </c>
      <c r="F118" s="5">
        <v>-2124441.1799999471</v>
      </c>
    </row>
    <row r="119" spans="1:6" x14ac:dyDescent="0.25">
      <c r="A119" s="37">
        <v>67</v>
      </c>
      <c r="B119" s="19"/>
      <c r="C119" s="16" t="s">
        <v>136</v>
      </c>
      <c r="D119" s="16"/>
      <c r="E119" s="5">
        <v>0</v>
      </c>
      <c r="F119" s="5">
        <v>0</v>
      </c>
    </row>
    <row r="120" spans="1:6" x14ac:dyDescent="0.25">
      <c r="A120" s="37">
        <v>68</v>
      </c>
      <c r="B120" s="19"/>
      <c r="C120" s="16" t="s">
        <v>137</v>
      </c>
      <c r="D120" s="16"/>
      <c r="E120" s="5">
        <v>-28353.764999999996</v>
      </c>
      <c r="F120" s="5">
        <v>-42262.530000000006</v>
      </c>
    </row>
    <row r="121" spans="1:6" x14ac:dyDescent="0.25">
      <c r="A121" s="35">
        <v>689</v>
      </c>
      <c r="B121" s="36" t="s">
        <v>112</v>
      </c>
      <c r="C121" s="17" t="s">
        <v>138</v>
      </c>
      <c r="D121" s="17"/>
      <c r="E121" s="20">
        <v>-28353.764999999996</v>
      </c>
      <c r="F121" s="20">
        <v>-42262.530000000006</v>
      </c>
    </row>
    <row r="122" spans="1:6" x14ac:dyDescent="0.25">
      <c r="A122" s="37"/>
      <c r="B122" s="19"/>
      <c r="C122" s="16" t="s">
        <v>139</v>
      </c>
      <c r="D122" s="16"/>
      <c r="E122" s="5">
        <v>-5518383.3300001891</v>
      </c>
      <c r="F122" s="5">
        <v>-2166703.7099999469</v>
      </c>
    </row>
    <row r="123" spans="1:6" x14ac:dyDescent="0.25">
      <c r="A123" s="39"/>
      <c r="B123" s="40"/>
      <c r="C123" s="41" t="s">
        <v>140</v>
      </c>
      <c r="D123" s="41"/>
      <c r="E123" s="8">
        <v>0</v>
      </c>
      <c r="F123" s="8">
        <v>0</v>
      </c>
    </row>
    <row r="124" spans="1:6" ht="15.75" thickBot="1" x14ac:dyDescent="0.3">
      <c r="A124" s="42"/>
      <c r="B124" s="43"/>
      <c r="C124" s="23" t="s">
        <v>141</v>
      </c>
      <c r="D124" s="23"/>
      <c r="E124" s="9">
        <v>-5518383.3300001891</v>
      </c>
      <c r="F124" s="9">
        <v>-2166703.7099999469</v>
      </c>
    </row>
    <row r="125" spans="1:6" x14ac:dyDescent="0.25">
      <c r="E125" s="26"/>
      <c r="F125" s="26"/>
    </row>
    <row r="127" spans="1:6" x14ac:dyDescent="0.25">
      <c r="E127" s="13" t="s">
        <v>147</v>
      </c>
      <c r="F127" s="13" t="s">
        <v>148</v>
      </c>
    </row>
    <row r="128" spans="1:6" x14ac:dyDescent="0.25">
      <c r="D128" s="12" t="s">
        <v>149</v>
      </c>
      <c r="E128" s="26">
        <f>SUM(E12:E13,E8,E10)-E69-E73</f>
        <v>28536128.88500008</v>
      </c>
      <c r="F128" s="26">
        <f>SUM(F12:F13,F8,F10)-F69-F73</f>
        <v>40314011.114999823</v>
      </c>
    </row>
    <row r="129" spans="4:6" x14ac:dyDescent="0.25">
      <c r="D129" s="12" t="s">
        <v>150</v>
      </c>
      <c r="E129" s="26">
        <f>SUM(E20:E24)</f>
        <v>11916044.329999994</v>
      </c>
      <c r="F129" s="26">
        <f>SUM(F20:F24)</f>
        <v>29050149.395000003</v>
      </c>
    </row>
    <row r="130" spans="4:6" x14ac:dyDescent="0.25">
      <c r="D130" s="12" t="s">
        <v>151</v>
      </c>
      <c r="E130" s="26">
        <f>SUM(E60:E61,E63,E58)-E26-E27-E49</f>
        <v>42039917.814999998</v>
      </c>
      <c r="F130" s="26">
        <f>SUM(F60:F61,F63,F58)-F26-F27-F49</f>
        <v>93307807.830000013</v>
      </c>
    </row>
    <row r="131" spans="4:6" x14ac:dyDescent="0.25">
      <c r="D131" s="10"/>
      <c r="E131" s="50"/>
      <c r="F131" s="50"/>
    </row>
    <row r="134" spans="4:6" x14ac:dyDescent="0.25">
      <c r="D134" s="12" t="s">
        <v>209</v>
      </c>
      <c r="F134" s="26">
        <f>AVERAGE(E128:F128)/1.2</f>
        <v>28687558.333333299</v>
      </c>
    </row>
    <row r="135" spans="4:6" x14ac:dyDescent="0.25">
      <c r="D135" s="12" t="s">
        <v>143</v>
      </c>
      <c r="F135" s="26">
        <f>AVERAGE(E129:F129)</f>
        <v>20483096.862499997</v>
      </c>
    </row>
    <row r="136" spans="4:6" x14ac:dyDescent="0.25">
      <c r="D136" s="12" t="s">
        <v>210</v>
      </c>
      <c r="F136" s="26">
        <f>AVERAGE(E130:F130)/1.2</f>
        <v>56394885.685416676</v>
      </c>
    </row>
    <row r="140" spans="4:6" x14ac:dyDescent="0.25">
      <c r="D140" s="12" t="s">
        <v>142</v>
      </c>
      <c r="F140" s="51">
        <f>+F103/F134</f>
        <v>9.2889021084924579</v>
      </c>
    </row>
    <row r="141" spans="4:6" x14ac:dyDescent="0.25">
      <c r="D141" s="12" t="s">
        <v>144</v>
      </c>
      <c r="F141" s="51">
        <f>-F104/F135</f>
        <v>11.855928979157314</v>
      </c>
    </row>
    <row r="142" spans="4:6" x14ac:dyDescent="0.25">
      <c r="D142" s="12" t="s">
        <v>145</v>
      </c>
      <c r="F142" s="51">
        <f>-SUM(F104,F107)/F136</f>
        <v>4.6698978683824626</v>
      </c>
    </row>
    <row r="144" spans="4:6" x14ac:dyDescent="0.25">
      <c r="D144" s="12" t="s">
        <v>152</v>
      </c>
      <c r="F144" s="51">
        <f>365/F140</f>
        <v>39.294202451148195</v>
      </c>
    </row>
    <row r="145" spans="4:6" x14ac:dyDescent="0.25">
      <c r="D145" s="12" t="s">
        <v>153</v>
      </c>
      <c r="F145" s="51">
        <f>365/F141</f>
        <v>30.786284283725792</v>
      </c>
    </row>
    <row r="146" spans="4:6" x14ac:dyDescent="0.25">
      <c r="D146" s="12" t="s">
        <v>154</v>
      </c>
      <c r="F146" s="51">
        <f>365/F142</f>
        <v>78.160167585512312</v>
      </c>
    </row>
  </sheetData>
  <mergeCells count="6">
    <mergeCell ref="C55:D55"/>
    <mergeCell ref="A4:D4"/>
    <mergeCell ref="B5:D5"/>
    <mergeCell ref="C6:D6"/>
    <mergeCell ref="A53:D53"/>
    <mergeCell ref="B54:D54"/>
  </mergeCells>
  <conditionalFormatting sqref="E124:F124">
    <cfRule type="expression" dxfId="0" priority="2" stopIfTrue="1">
      <formula>#REF!=1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004C4-40A8-48F2-99B6-339F7366D8D3}">
  <dimension ref="C2:I40"/>
  <sheetViews>
    <sheetView zoomScale="85" zoomScaleNormal="85" workbookViewId="0"/>
  </sheetViews>
  <sheetFormatPr defaultRowHeight="18.75" x14ac:dyDescent="0.25"/>
  <cols>
    <col min="1" max="2" width="9.140625" style="59"/>
    <col min="4" max="4" width="47.85546875" style="59" bestFit="1" customWidth="1"/>
    <col min="5" max="5" width="17.140625" style="59" bestFit="1" customWidth="1"/>
    <col min="6" max="6" width="19.28515625" style="59" customWidth="1"/>
    <col min="7" max="7" width="38.28515625" style="59" bestFit="1" customWidth="1"/>
    <col min="8" max="16384" width="9.140625" style="59"/>
  </cols>
  <sheetData>
    <row r="2" spans="3:9" x14ac:dyDescent="0.25">
      <c r="D2" s="57" t="s">
        <v>1</v>
      </c>
      <c r="E2" s="58" t="s">
        <v>147</v>
      </c>
      <c r="F2" s="58" t="s">
        <v>148</v>
      </c>
    </row>
    <row r="3" spans="3:9" x14ac:dyDescent="0.25">
      <c r="D3" s="57" t="s">
        <v>175</v>
      </c>
      <c r="E3" s="65">
        <f>SUM(E4:E7,E10:E12)</f>
        <v>58425622.544999719</v>
      </c>
      <c r="F3" s="65">
        <f>SUM(F4:F7,F10:F12)</f>
        <v>103030241.60499986</v>
      </c>
    </row>
    <row r="4" spans="3:9" x14ac:dyDescent="0.25">
      <c r="D4" s="59" t="s">
        <v>173</v>
      </c>
      <c r="E4" s="60">
        <f>+B_GT!E7+B_GT!E9</f>
        <v>124879.51999999891</v>
      </c>
      <c r="F4" s="60">
        <f>+B_GT!F7+B_GT!F9</f>
        <v>2303562.3550000042</v>
      </c>
      <c r="G4" s="60"/>
      <c r="H4" s="60"/>
      <c r="I4" s="60"/>
    </row>
    <row r="5" spans="3:9" x14ac:dyDescent="0.25">
      <c r="D5" s="59" t="s">
        <v>149</v>
      </c>
      <c r="E5" s="60">
        <f>SUM(B_GT!E12:E13,B_GT!E8,B_GT!E10)-B_GT!E69-B_GT!E73</f>
        <v>28536128.88500008</v>
      </c>
      <c r="F5" s="60">
        <f>SUM(B_GT!F12:F13,B_GT!F8,B_GT!F10)-B_GT!F69-B_GT!F73</f>
        <v>40314011.114999823</v>
      </c>
      <c r="G5" s="60"/>
      <c r="H5" s="60"/>
      <c r="I5" s="60"/>
    </row>
    <row r="6" spans="3:9" x14ac:dyDescent="0.25">
      <c r="D6" s="59" t="s">
        <v>150</v>
      </c>
      <c r="E6" s="60">
        <f>SUM(B_GT!E20:E24)</f>
        <v>11916044.329999994</v>
      </c>
      <c r="F6" s="60">
        <f>SUM(B_GT!F20:F24)</f>
        <v>29050149.395000003</v>
      </c>
      <c r="G6" s="60"/>
      <c r="H6" s="60"/>
      <c r="I6" s="60"/>
    </row>
    <row r="7" spans="3:9" x14ac:dyDescent="0.25">
      <c r="D7" s="59" t="s">
        <v>174</v>
      </c>
      <c r="E7" s="60">
        <f>SUM(B_GT!E37,B_GT!E44)</f>
        <v>12323662.055</v>
      </c>
      <c r="F7" s="60">
        <f>SUM(B_GT!F37,B_GT!F44)</f>
        <v>14861475.180000003</v>
      </c>
      <c r="G7" s="61"/>
      <c r="H7" s="60"/>
      <c r="I7" s="60"/>
    </row>
    <row r="8" spans="3:9" x14ac:dyDescent="0.25">
      <c r="D8" s="62" t="s">
        <v>182</v>
      </c>
      <c r="E8" s="63">
        <f>+E7-E9</f>
        <v>19149268.82</v>
      </c>
      <c r="F8" s="63">
        <f>+F7-F9</f>
        <v>22732986.075000003</v>
      </c>
      <c r="G8" s="61"/>
      <c r="H8" s="60"/>
      <c r="I8" s="60"/>
    </row>
    <row r="9" spans="3:9" x14ac:dyDescent="0.25">
      <c r="D9" s="62" t="s">
        <v>183</v>
      </c>
      <c r="E9" s="63">
        <f>SUM(B_GT!E43,B_GT!E47)</f>
        <v>-6825606.7649999987</v>
      </c>
      <c r="F9" s="63">
        <f>SUM(B_GT!F43,B_GT!F47)</f>
        <v>-7871510.8949999996</v>
      </c>
      <c r="G9" s="61"/>
      <c r="H9" s="60"/>
      <c r="I9" s="60"/>
    </row>
    <row r="10" spans="3:9" x14ac:dyDescent="0.25">
      <c r="D10" s="59" t="s">
        <v>178</v>
      </c>
      <c r="E10" s="60">
        <f>SUM(B_GT!E29:E31)-B_GT!E75</f>
        <v>178434.91500000001</v>
      </c>
      <c r="F10" s="60">
        <f>SUM(B_GT!F29:F31)-B_GT!F75</f>
        <v>2592810.7700000037</v>
      </c>
      <c r="G10" s="60"/>
      <c r="H10" s="60"/>
      <c r="I10" s="60"/>
    </row>
    <row r="11" spans="3:9" x14ac:dyDescent="0.25">
      <c r="D11" s="59" t="s">
        <v>179</v>
      </c>
      <c r="E11" s="60">
        <f>B_GT!E18-B_GT!E65</f>
        <v>2298129.87</v>
      </c>
      <c r="F11" s="60">
        <f>B_GT!F18-B_GT!F65</f>
        <v>11637735.235000001</v>
      </c>
      <c r="G11" s="60"/>
      <c r="H11" s="60"/>
      <c r="I11" s="60"/>
    </row>
    <row r="12" spans="3:9" x14ac:dyDescent="0.25">
      <c r="D12" s="59" t="s">
        <v>181</v>
      </c>
      <c r="E12" s="60">
        <f>SUM(B_GT!E14:E16,B_GT!E32:E33,B_GT!E36)</f>
        <v>3048342.9699996505</v>
      </c>
      <c r="F12" s="60">
        <f>SUM(B_GT!F14:F16,B_GT!F32:F33,B_GT!F36)</f>
        <v>2270497.5550000011</v>
      </c>
      <c r="G12" s="60"/>
      <c r="H12" s="60"/>
      <c r="I12" s="60"/>
    </row>
    <row r="13" spans="3:9" x14ac:dyDescent="0.25">
      <c r="E13" s="60"/>
      <c r="F13" s="60"/>
      <c r="G13" s="60"/>
      <c r="H13" s="60"/>
      <c r="I13" s="60"/>
    </row>
    <row r="14" spans="3:9" x14ac:dyDescent="0.25">
      <c r="D14" s="57" t="s">
        <v>1</v>
      </c>
      <c r="E14" s="58" t="s">
        <v>147</v>
      </c>
      <c r="F14" s="58" t="s">
        <v>148</v>
      </c>
      <c r="G14" s="60"/>
      <c r="H14" s="60"/>
      <c r="I14" s="60"/>
    </row>
    <row r="15" spans="3:9" s="64" customFormat="1" x14ac:dyDescent="0.25">
      <c r="C15"/>
      <c r="D15" s="64" t="s">
        <v>176</v>
      </c>
      <c r="E15" s="65">
        <f>SUM(E16:E19)</f>
        <v>58425622.544999793</v>
      </c>
      <c r="F15" s="65">
        <f>SUM(F16:F19)</f>
        <v>103030241.60500002</v>
      </c>
      <c r="G15" s="65"/>
      <c r="H15" s="65"/>
      <c r="I15" s="65"/>
    </row>
    <row r="16" spans="3:9" x14ac:dyDescent="0.25">
      <c r="D16" s="59" t="s">
        <v>177</v>
      </c>
      <c r="E16" s="60">
        <f>+B_GT!E56+B_GT!E57+B_GT!E78+B_GT!E79+B_GT!E80</f>
        <v>13344563.049999997</v>
      </c>
      <c r="F16" s="60">
        <f>+B_GT!F56+B_GT!F57+B_GT!F78+B_GT!F79+B_GT!F80</f>
        <v>10493281.665000001</v>
      </c>
      <c r="G16" s="60"/>
      <c r="H16" s="60"/>
      <c r="I16" s="60"/>
    </row>
    <row r="17" spans="3:9" x14ac:dyDescent="0.25">
      <c r="D17" s="59" t="s">
        <v>151</v>
      </c>
      <c r="E17" s="60">
        <f>SUM(B_GT!E60:E61,B_GT!E63,B_GT!E58)-B_GT!E26-B_GT!E27-B_GT!E49</f>
        <v>42039917.814999998</v>
      </c>
      <c r="F17" s="60">
        <f>SUM(B_GT!F60:F61,B_GT!F63,B_GT!F58)-B_GT!F26-B_GT!F27-B_GT!F49</f>
        <v>93307807.830000013</v>
      </c>
      <c r="G17" s="60"/>
      <c r="H17" s="60"/>
      <c r="I17" s="60"/>
    </row>
    <row r="18" spans="3:9" x14ac:dyDescent="0.25">
      <c r="D18" s="59" t="s">
        <v>84</v>
      </c>
      <c r="E18" s="60">
        <f>SUM(B_GT!E62,B_GT!E66:E67,B_GT!E71)</f>
        <v>5570164.2500000009</v>
      </c>
      <c r="F18" s="60">
        <f>SUM(B_GT!F62,B_GT!F66:F67,B_GT!F71)</f>
        <v>4027420.3449999951</v>
      </c>
      <c r="G18" s="60"/>
      <c r="H18" s="60"/>
      <c r="I18" s="60"/>
    </row>
    <row r="19" spans="3:9" x14ac:dyDescent="0.25">
      <c r="D19" s="59" t="s">
        <v>180</v>
      </c>
      <c r="E19" s="60">
        <f>B_GT!E81</f>
        <v>-2529022.5700002043</v>
      </c>
      <c r="F19" s="60">
        <f>B_GT!F81</f>
        <v>-4798268.2350000031</v>
      </c>
      <c r="G19" s="60"/>
      <c r="H19" s="60"/>
      <c r="I19" s="60"/>
    </row>
    <row r="20" spans="3:9" x14ac:dyDescent="0.25">
      <c r="D20" s="62" t="s">
        <v>188</v>
      </c>
      <c r="E20" s="63">
        <f>B_GT!E90</f>
        <v>-5518383.330000204</v>
      </c>
      <c r="F20" s="63">
        <f>B_GT!F90</f>
        <v>-2166703.7100000032</v>
      </c>
      <c r="G20" s="61"/>
      <c r="H20" s="60"/>
      <c r="I20" s="60"/>
    </row>
    <row r="21" spans="3:9" x14ac:dyDescent="0.25">
      <c r="D21" s="62" t="s">
        <v>189</v>
      </c>
      <c r="E21" s="63">
        <f>E19-E20</f>
        <v>2989360.76</v>
      </c>
      <c r="F21" s="63">
        <f>F19-F20</f>
        <v>-2631564.5249999999</v>
      </c>
      <c r="G21" s="61"/>
      <c r="H21" s="60"/>
      <c r="I21" s="60"/>
    </row>
    <row r="22" spans="3:9" x14ac:dyDescent="0.25">
      <c r="D22" s="62"/>
      <c r="E22" s="63"/>
      <c r="F22" s="63"/>
      <c r="G22" s="61"/>
      <c r="H22" s="60"/>
      <c r="I22" s="60"/>
    </row>
    <row r="23" spans="3:9" s="64" customFormat="1" x14ac:dyDescent="0.25">
      <c r="C23"/>
      <c r="D23" s="64" t="s">
        <v>184</v>
      </c>
      <c r="E23" s="58" t="s">
        <v>147</v>
      </c>
      <c r="F23" s="58" t="s">
        <v>148</v>
      </c>
      <c r="G23" s="65"/>
      <c r="H23" s="65"/>
      <c r="I23" s="65"/>
    </row>
    <row r="24" spans="3:9" x14ac:dyDescent="0.25">
      <c r="D24" s="59" t="s">
        <v>185</v>
      </c>
      <c r="E24" s="60">
        <f>SUM(B_GT!E103,B_GT!E112)</f>
        <v>119903016.3649998</v>
      </c>
      <c r="F24" s="60">
        <f>SUM(B_GT!F103,B_GT!F112)</f>
        <v>267898258.28500003</v>
      </c>
      <c r="G24" s="60"/>
      <c r="H24" s="60"/>
      <c r="I24" s="60"/>
    </row>
    <row r="25" spans="3:9" x14ac:dyDescent="0.25">
      <c r="D25" s="59" t="s">
        <v>186</v>
      </c>
      <c r="E25" s="60">
        <f>B_GT!E104</f>
        <v>-107088308.035</v>
      </c>
      <c r="F25" s="60">
        <f>B_GT!F104</f>
        <v>-242846141.67499998</v>
      </c>
      <c r="G25" s="60"/>
      <c r="H25" s="60"/>
      <c r="I25" s="60"/>
    </row>
    <row r="26" spans="3:9" x14ac:dyDescent="0.25">
      <c r="D26" s="59" t="s">
        <v>187</v>
      </c>
      <c r="E26" s="60">
        <f>B_GT!E107</f>
        <v>-11464714.074999999</v>
      </c>
      <c r="F26" s="60">
        <f>B_GT!F107</f>
        <v>-20512214.774999999</v>
      </c>
      <c r="G26" s="60"/>
      <c r="H26" s="60"/>
      <c r="I26" s="60"/>
    </row>
    <row r="27" spans="3:9" x14ac:dyDescent="0.25">
      <c r="D27" s="59" t="s">
        <v>190</v>
      </c>
      <c r="E27" s="60">
        <f>SUM(B_GT!E113,B_GT!E120)</f>
        <v>-3187440.665</v>
      </c>
      <c r="F27" s="60">
        <f>SUM(B_GT!F113,B_GT!F120)</f>
        <v>-2121862.59</v>
      </c>
      <c r="G27" s="60"/>
      <c r="H27" s="60"/>
      <c r="I27" s="60"/>
    </row>
    <row r="28" spans="3:9" x14ac:dyDescent="0.25">
      <c r="D28" s="59" t="s">
        <v>191</v>
      </c>
      <c r="E28" s="60">
        <f>+B_GT!E116</f>
        <v>-3680936.9199999995</v>
      </c>
      <c r="F28" s="60">
        <f>+B_GT!F116</f>
        <v>-4584742.9550000001</v>
      </c>
      <c r="G28" s="60"/>
      <c r="H28" s="60"/>
      <c r="I28" s="60"/>
    </row>
    <row r="29" spans="3:9" x14ac:dyDescent="0.25">
      <c r="D29" s="59" t="s">
        <v>194</v>
      </c>
      <c r="E29" s="60">
        <f>SUM(E24:E28)</f>
        <v>-5518383.3300001938</v>
      </c>
      <c r="F29" s="60">
        <f>SUM(F24:F28)</f>
        <v>-2166703.7099999543</v>
      </c>
      <c r="G29" s="60"/>
      <c r="H29" s="60"/>
      <c r="I29" s="60"/>
    </row>
    <row r="30" spans="3:9" x14ac:dyDescent="0.25">
      <c r="D30" s="59" t="s">
        <v>192</v>
      </c>
      <c r="E30" s="60">
        <v>0</v>
      </c>
      <c r="F30" s="60">
        <v>0</v>
      </c>
      <c r="G30" s="60"/>
      <c r="H30" s="60"/>
      <c r="I30" s="60"/>
    </row>
    <row r="31" spans="3:9" x14ac:dyDescent="0.25">
      <c r="D31" s="59" t="s">
        <v>193</v>
      </c>
      <c r="E31" s="60">
        <f>+E29+E30</f>
        <v>-5518383.3300001938</v>
      </c>
      <c r="F31" s="60">
        <f>+F29+F30</f>
        <v>-2166703.7099999543</v>
      </c>
      <c r="G31" s="60"/>
      <c r="H31" s="60"/>
      <c r="I31" s="60"/>
    </row>
    <row r="32" spans="3:9" x14ac:dyDescent="0.25">
      <c r="E32" s="60"/>
      <c r="F32" s="60"/>
      <c r="G32" s="60"/>
      <c r="H32" s="60"/>
      <c r="I32" s="60"/>
    </row>
    <row r="33" spans="5:9" x14ac:dyDescent="0.25">
      <c r="E33" s="60"/>
      <c r="F33" s="60"/>
      <c r="G33" s="60"/>
      <c r="H33" s="60"/>
      <c r="I33" s="60"/>
    </row>
    <row r="34" spans="5:9" x14ac:dyDescent="0.25">
      <c r="E34" s="60"/>
      <c r="F34" s="60"/>
      <c r="G34" s="60"/>
      <c r="H34" s="60"/>
      <c r="I34" s="60"/>
    </row>
    <row r="35" spans="5:9" x14ac:dyDescent="0.25">
      <c r="E35" s="60"/>
      <c r="F35" s="60"/>
      <c r="G35" s="60"/>
      <c r="H35" s="60"/>
      <c r="I35" s="60"/>
    </row>
    <row r="36" spans="5:9" x14ac:dyDescent="0.25">
      <c r="E36" s="60"/>
      <c r="F36" s="60"/>
      <c r="G36" s="60"/>
      <c r="H36" s="60"/>
      <c r="I36" s="60"/>
    </row>
    <row r="37" spans="5:9" x14ac:dyDescent="0.25">
      <c r="E37" s="60"/>
      <c r="F37" s="60"/>
      <c r="G37" s="60"/>
      <c r="H37" s="60"/>
      <c r="I37" s="60"/>
    </row>
    <row r="38" spans="5:9" x14ac:dyDescent="0.25">
      <c r="E38" s="60"/>
      <c r="F38" s="60"/>
      <c r="G38" s="60"/>
      <c r="H38" s="60"/>
      <c r="I38" s="60"/>
    </row>
    <row r="39" spans="5:9" x14ac:dyDescent="0.25">
      <c r="E39" s="60"/>
      <c r="F39" s="60"/>
      <c r="G39" s="60"/>
      <c r="H39" s="60"/>
      <c r="I39" s="60"/>
    </row>
    <row r="40" spans="5:9" x14ac:dyDescent="0.25">
      <c r="E40" s="60"/>
      <c r="F40" s="60"/>
      <c r="G40" s="60"/>
      <c r="H40" s="60"/>
      <c r="I40" s="60"/>
    </row>
  </sheetData>
  <pageMargins left="0.7" right="0.7" top="0.75" bottom="0.75" header="0.3" footer="0.3"/>
  <ignoredErrors>
    <ignoredError sqref="F6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0553E9-B63C-435E-8EF4-01821B71C2D5}">
  <dimension ref="C2:K46"/>
  <sheetViews>
    <sheetView zoomScale="115" zoomScaleNormal="115" workbookViewId="0"/>
  </sheetViews>
  <sheetFormatPr defaultRowHeight="18.75" x14ac:dyDescent="0.25"/>
  <cols>
    <col min="1" max="2" width="9.140625" style="59"/>
    <col min="4" max="4" width="47.85546875" style="59" bestFit="1" customWidth="1"/>
    <col min="5" max="5" width="17.140625" style="59" bestFit="1" customWidth="1"/>
    <col min="6" max="11" width="19.28515625" style="59" customWidth="1"/>
    <col min="12" max="16384" width="9.140625" style="59"/>
  </cols>
  <sheetData>
    <row r="2" spans="3:11" x14ac:dyDescent="0.25">
      <c r="D2" s="57" t="s">
        <v>1</v>
      </c>
      <c r="E2" s="58" t="s">
        <v>147</v>
      </c>
      <c r="F2" s="58" t="s">
        <v>148</v>
      </c>
      <c r="G2" s="58" t="s">
        <v>200</v>
      </c>
      <c r="H2" s="58" t="s">
        <v>201</v>
      </c>
      <c r="I2" s="58" t="s">
        <v>202</v>
      </c>
      <c r="J2" s="58" t="s">
        <v>203</v>
      </c>
      <c r="K2" s="58" t="s">
        <v>204</v>
      </c>
    </row>
    <row r="3" spans="3:11" x14ac:dyDescent="0.25">
      <c r="D3" s="57" t="s">
        <v>175</v>
      </c>
      <c r="E3" s="65">
        <f>SUM(E4:E7,E10:E12)</f>
        <v>58425622.544999719</v>
      </c>
      <c r="F3" s="65">
        <f>SUM(F4:F7,F10:F12)</f>
        <v>103030241.60499986</v>
      </c>
      <c r="G3" s="65">
        <f t="shared" ref="G3:K3" si="0">SUM(G4:G7,G10:G12)</f>
        <v>144740744.02574912</v>
      </c>
      <c r="H3" s="65">
        <f t="shared" si="0"/>
        <v>178384175.69891071</v>
      </c>
      <c r="I3" s="65">
        <f t="shared" si="0"/>
        <v>212892056.40215987</v>
      </c>
      <c r="J3" s="65">
        <f t="shared" si="0"/>
        <v>244842187.1025652</v>
      </c>
      <c r="K3" s="65">
        <f t="shared" si="0"/>
        <v>270383703.96089363</v>
      </c>
    </row>
    <row r="4" spans="3:11" x14ac:dyDescent="0.25">
      <c r="D4" s="59" t="s">
        <v>173</v>
      </c>
      <c r="E4" s="60">
        <f>+B_GT!E7+B_GT!E9</f>
        <v>124879.51999999891</v>
      </c>
      <c r="F4" s="60">
        <f>+B_GT!F7+B_GT!F9</f>
        <v>2303562.3550000042</v>
      </c>
      <c r="G4" s="60">
        <f>G15-SUM(G5:G7,G10:G12)</f>
        <v>14118471.255349353</v>
      </c>
      <c r="H4" s="60">
        <f>H15-SUM(H5:H7,H10:H12)</f>
        <v>23083189.825910956</v>
      </c>
      <c r="I4" s="60">
        <f t="shared" ref="I4:K4" si="1">I15-SUM(I5:I7,I10:I12)</f>
        <v>32912357.426560253</v>
      </c>
      <c r="J4" s="60">
        <f t="shared" si="1"/>
        <v>42756236.747625619</v>
      </c>
      <c r="K4" s="60">
        <f t="shared" si="1"/>
        <v>51593671.845460147</v>
      </c>
    </row>
    <row r="5" spans="3:11" x14ac:dyDescent="0.25">
      <c r="D5" s="59" t="s">
        <v>149</v>
      </c>
      <c r="E5" s="60">
        <f>SUM(B_GT!E12:E13,B_GT!E8,B_GT!E10)-B_GT!E69-B_GT!E73</f>
        <v>28536128.88500008</v>
      </c>
      <c r="F5" s="60">
        <f>SUM(B_GT!F12:F13,B_GT!F8,B_GT!F10)-B_GT!F69-B_GT!F73</f>
        <v>40314011.114999823</v>
      </c>
      <c r="G5" s="60">
        <f>+$F$5/$F$26*G26</f>
        <v>57649035.894449748</v>
      </c>
      <c r="H5" s="60">
        <f t="shared" ref="H5:K5" si="2">+$F$5/$F$26*H26</f>
        <v>72061294.868062183</v>
      </c>
      <c r="I5" s="60">
        <f t="shared" si="2"/>
        <v>86473553.841674611</v>
      </c>
      <c r="J5" s="60">
        <f t="shared" si="2"/>
        <v>99444586.91792579</v>
      </c>
      <c r="K5" s="60">
        <f t="shared" si="2"/>
        <v>109389045.60971838</v>
      </c>
    </row>
    <row r="6" spans="3:11" x14ac:dyDescent="0.25">
      <c r="D6" s="59" t="s">
        <v>150</v>
      </c>
      <c r="E6" s="60">
        <f>SUM(B_GT!E20:E24)</f>
        <v>11916044.329999994</v>
      </c>
      <c r="F6" s="60">
        <f>SUM(B_GT!F20:F24)</f>
        <v>29050149.395000003</v>
      </c>
      <c r="G6" s="60">
        <f>+$F$6/$F$27*G27</f>
        <v>41541713.634850003</v>
      </c>
      <c r="H6" s="60">
        <f t="shared" ref="H6:K6" si="3">+$F$6/$F$27*H27</f>
        <v>51927142.043562502</v>
      </c>
      <c r="I6" s="60">
        <f t="shared" si="3"/>
        <v>62312570.452275001</v>
      </c>
      <c r="J6" s="60">
        <f t="shared" si="3"/>
        <v>71659456.02011624</v>
      </c>
      <c r="K6" s="60">
        <f t="shared" si="3"/>
        <v>78825401.622127876</v>
      </c>
    </row>
    <row r="7" spans="3:11" x14ac:dyDescent="0.25">
      <c r="D7" s="59" t="s">
        <v>174</v>
      </c>
      <c r="E7" s="60">
        <f>SUM(B_GT!E37,B_GT!E44)</f>
        <v>12323662.055</v>
      </c>
      <c r="F7" s="60">
        <f>SUM(B_GT!F37,B_GT!F44)</f>
        <v>14861475.180000003</v>
      </c>
      <c r="G7" s="60">
        <f>SUM(G8:G9)</f>
        <v>13815571.050000003</v>
      </c>
      <c r="H7" s="60">
        <f t="shared" ref="H7:K7" si="4">SUM(H8:H9)</f>
        <v>12769666.920000002</v>
      </c>
      <c r="I7" s="60">
        <f t="shared" si="4"/>
        <v>11723762.790000001</v>
      </c>
      <c r="J7" s="60">
        <f t="shared" si="4"/>
        <v>10677858.66</v>
      </c>
      <c r="K7" s="60">
        <f t="shared" si="4"/>
        <v>9631954.5299999993</v>
      </c>
    </row>
    <row r="8" spans="3:11" x14ac:dyDescent="0.25">
      <c r="D8" s="62" t="s">
        <v>182</v>
      </c>
      <c r="E8" s="63">
        <f>+E7-E9</f>
        <v>19149268.82</v>
      </c>
      <c r="F8" s="63">
        <f>+F7-F9</f>
        <v>22732986.075000003</v>
      </c>
      <c r="G8" s="63">
        <f>+F8</f>
        <v>22732986.075000003</v>
      </c>
      <c r="H8" s="63">
        <f t="shared" ref="H8:K8" si="5">+G8</f>
        <v>22732986.075000003</v>
      </c>
      <c r="I8" s="63">
        <f t="shared" si="5"/>
        <v>22732986.075000003</v>
      </c>
      <c r="J8" s="63">
        <f t="shared" si="5"/>
        <v>22732986.075000003</v>
      </c>
      <c r="K8" s="63">
        <f t="shared" si="5"/>
        <v>22732986.075000003</v>
      </c>
    </row>
    <row r="9" spans="3:11" x14ac:dyDescent="0.25">
      <c r="D9" s="62" t="s">
        <v>183</v>
      </c>
      <c r="E9" s="63">
        <f>SUM(B_GT!E43,B_GT!E47)</f>
        <v>-6825606.7649999987</v>
      </c>
      <c r="F9" s="63">
        <f>SUM(B_GT!F43,B_GT!F47)</f>
        <v>-7871510.8949999996</v>
      </c>
      <c r="G9" s="63">
        <f>+F9-E9+F9</f>
        <v>-8917415.0250000004</v>
      </c>
      <c r="H9" s="63">
        <f t="shared" ref="H9:K9" si="6">+G9-F9+G9</f>
        <v>-9963319.1550000012</v>
      </c>
      <c r="I9" s="63">
        <f t="shared" si="6"/>
        <v>-11009223.285000002</v>
      </c>
      <c r="J9" s="63">
        <f t="shared" si="6"/>
        <v>-12055127.415000003</v>
      </c>
      <c r="K9" s="63">
        <f t="shared" si="6"/>
        <v>-13101031.545000004</v>
      </c>
    </row>
    <row r="10" spans="3:11" x14ac:dyDescent="0.25">
      <c r="D10" s="59" t="s">
        <v>178</v>
      </c>
      <c r="E10" s="60">
        <f>SUM(B_GT!E29:E31)-B_GT!E75</f>
        <v>178434.91500000001</v>
      </c>
      <c r="F10" s="60">
        <f>SUM(B_GT!F29:F31)-B_GT!F75</f>
        <v>2592810.7700000037</v>
      </c>
      <c r="G10" s="60">
        <f>+$F$10/$F$26*G26</f>
        <v>3707719.401100005</v>
      </c>
      <c r="H10" s="60">
        <f t="shared" ref="H10:K10" si="7">+$F$10/$F$26*H26</f>
        <v>4634649.2513750065</v>
      </c>
      <c r="I10" s="60">
        <f t="shared" si="7"/>
        <v>5561579.1016500071</v>
      </c>
      <c r="J10" s="60">
        <f t="shared" si="7"/>
        <v>6395815.9668975072</v>
      </c>
      <c r="K10" s="60">
        <f t="shared" si="7"/>
        <v>7035397.5635872586</v>
      </c>
    </row>
    <row r="11" spans="3:11" x14ac:dyDescent="0.25">
      <c r="D11" s="59" t="s">
        <v>179</v>
      </c>
      <c r="E11" s="60">
        <f>B_GT!E18-B_GT!E65</f>
        <v>2298129.87</v>
      </c>
      <c r="F11" s="60">
        <f>B_GT!F18-B_GT!F65</f>
        <v>11637735.235000001</v>
      </c>
      <c r="G11" s="60">
        <f>+F11</f>
        <v>11637735.235000001</v>
      </c>
      <c r="H11" s="60">
        <f t="shared" ref="H11:K11" si="8">+G11</f>
        <v>11637735.235000001</v>
      </c>
      <c r="I11" s="60">
        <f t="shared" si="8"/>
        <v>11637735.235000001</v>
      </c>
      <c r="J11" s="60">
        <f t="shared" si="8"/>
        <v>11637735.235000001</v>
      </c>
      <c r="K11" s="60">
        <f t="shared" si="8"/>
        <v>11637735.235000001</v>
      </c>
    </row>
    <row r="12" spans="3:11" x14ac:dyDescent="0.25">
      <c r="D12" s="59" t="s">
        <v>181</v>
      </c>
      <c r="E12" s="60">
        <f>SUM(B_GT!E14:E16,B_GT!E32:E33,B_GT!E36)</f>
        <v>3048342.9699996505</v>
      </c>
      <c r="F12" s="60">
        <f>SUM(B_GT!F14:F16,B_GT!F32:F33,B_GT!F36)</f>
        <v>2270497.5550000011</v>
      </c>
      <c r="G12" s="60">
        <f>+F12</f>
        <v>2270497.5550000011</v>
      </c>
      <c r="H12" s="60">
        <f t="shared" ref="H12:K12" si="9">+G12</f>
        <v>2270497.5550000011</v>
      </c>
      <c r="I12" s="60">
        <f t="shared" si="9"/>
        <v>2270497.5550000011</v>
      </c>
      <c r="J12" s="60">
        <f t="shared" si="9"/>
        <v>2270497.5550000011</v>
      </c>
      <c r="K12" s="60">
        <f t="shared" si="9"/>
        <v>2270497.5550000011</v>
      </c>
    </row>
    <row r="13" spans="3:11" x14ac:dyDescent="0.25">
      <c r="E13" s="60"/>
      <c r="F13" s="60"/>
      <c r="G13" s="60"/>
      <c r="H13" s="60"/>
      <c r="I13" s="60"/>
      <c r="J13" s="60"/>
      <c r="K13" s="60"/>
    </row>
    <row r="14" spans="3:11" x14ac:dyDescent="0.25">
      <c r="D14" s="57" t="s">
        <v>1</v>
      </c>
      <c r="E14" s="58" t="s">
        <v>147</v>
      </c>
      <c r="F14" s="58" t="s">
        <v>148</v>
      </c>
      <c r="G14" s="58" t="s">
        <v>200</v>
      </c>
      <c r="H14" s="58" t="s">
        <v>201</v>
      </c>
      <c r="I14" s="58" t="s">
        <v>202</v>
      </c>
      <c r="J14" s="58" t="s">
        <v>203</v>
      </c>
      <c r="K14" s="58" t="s">
        <v>204</v>
      </c>
    </row>
    <row r="15" spans="3:11" s="64" customFormat="1" x14ac:dyDescent="0.25">
      <c r="C15"/>
      <c r="D15" s="64" t="s">
        <v>176</v>
      </c>
      <c r="E15" s="65">
        <f>SUM(E16:E19)</f>
        <v>58425622.544999793</v>
      </c>
      <c r="F15" s="65">
        <f>SUM(F16:F19)</f>
        <v>103030241.60500002</v>
      </c>
      <c r="G15" s="65">
        <f>SUM(G16:G19)</f>
        <v>144740744.02574912</v>
      </c>
      <c r="H15" s="65">
        <f t="shared" ref="H15:K15" si="10">SUM(H16:H19)</f>
        <v>178384175.69891068</v>
      </c>
      <c r="I15" s="65">
        <f t="shared" si="10"/>
        <v>212892056.40215987</v>
      </c>
      <c r="J15" s="65">
        <f t="shared" si="10"/>
        <v>244842187.1025652</v>
      </c>
      <c r="K15" s="65">
        <f t="shared" si="10"/>
        <v>270383703.96089369</v>
      </c>
    </row>
    <row r="16" spans="3:11" x14ac:dyDescent="0.25">
      <c r="D16" s="59" t="s">
        <v>177</v>
      </c>
      <c r="E16" s="60">
        <f>+B_GT!E56+B_GT!E57+B_GT!E78+B_GT!E79+B_GT!E80</f>
        <v>13344563.049999997</v>
      </c>
      <c r="F16" s="60">
        <f>+B_GT!F56+B_GT!F57+B_GT!F78+B_GT!F79+B_GT!F80</f>
        <v>10493281.665000001</v>
      </c>
      <c r="G16" s="60">
        <f>+F16</f>
        <v>10493281.665000001</v>
      </c>
      <c r="H16" s="60">
        <f>+G16</f>
        <v>10493281.665000001</v>
      </c>
      <c r="I16" s="60">
        <f>+H16</f>
        <v>10493281.665000001</v>
      </c>
      <c r="J16" s="60">
        <f>+I16</f>
        <v>10493281.665000001</v>
      </c>
      <c r="K16" s="60">
        <f>+J16</f>
        <v>10493281.665000001</v>
      </c>
    </row>
    <row r="17" spans="3:11" x14ac:dyDescent="0.25">
      <c r="D17" s="59" t="s">
        <v>151</v>
      </c>
      <c r="E17" s="60">
        <f>SUM(B_GT!E60:E61,B_GT!E63,B_GT!E58)-B_GT!E26-B_GT!E27-B_GT!E49</f>
        <v>42039917.814999998</v>
      </c>
      <c r="F17" s="60">
        <f>SUM(B_GT!F60:F61,B_GT!F63,B_GT!F58)-B_GT!F26-B_GT!F27-B_GT!F49</f>
        <v>93307807.830000013</v>
      </c>
      <c r="G17" s="60">
        <f>+$F$17/SUM($F$27,$F$29)*SUM(G27,G29)</f>
        <v>133430165.19690001</v>
      </c>
      <c r="H17" s="60">
        <f t="shared" ref="H17:K17" si="11">+$F$17/SUM($F$27,$F$29)*SUM(H27,H29)</f>
        <v>166787706.49612498</v>
      </c>
      <c r="I17" s="60">
        <f t="shared" si="11"/>
        <v>200145247.79535002</v>
      </c>
      <c r="J17" s="60">
        <f t="shared" si="11"/>
        <v>230167034.96465248</v>
      </c>
      <c r="K17" s="60">
        <f t="shared" si="11"/>
        <v>253183738.46111774</v>
      </c>
    </row>
    <row r="18" spans="3:11" x14ac:dyDescent="0.25">
      <c r="D18" s="59" t="s">
        <v>84</v>
      </c>
      <c r="E18" s="60">
        <f>SUM(B_GT!E62,B_GT!E66:E67,B_GT!E71)</f>
        <v>5570164.2500000009</v>
      </c>
      <c r="F18" s="60">
        <f>SUM(B_GT!F62,B_GT!F66:F67,B_GT!F71)</f>
        <v>4027420.3449999951</v>
      </c>
      <c r="G18" s="60">
        <f>+F18</f>
        <v>4027420.3449999951</v>
      </c>
      <c r="H18" s="60">
        <f t="shared" ref="H18:K18" si="12">+G18</f>
        <v>4027420.3449999951</v>
      </c>
      <c r="I18" s="60">
        <f t="shared" si="12"/>
        <v>4027420.3449999951</v>
      </c>
      <c r="J18" s="60">
        <f t="shared" si="12"/>
        <v>4027420.3449999951</v>
      </c>
      <c r="K18" s="60">
        <f t="shared" si="12"/>
        <v>4027420.3449999951</v>
      </c>
    </row>
    <row r="19" spans="3:11" x14ac:dyDescent="0.25">
      <c r="D19" s="59" t="s">
        <v>180</v>
      </c>
      <c r="E19" s="60">
        <f>B_GT!E81</f>
        <v>-2529022.5700002043</v>
      </c>
      <c r="F19" s="60">
        <f>B_GT!F81</f>
        <v>-4798268.2350000031</v>
      </c>
      <c r="G19" s="60">
        <f>SUM(G20:G21)</f>
        <v>-3210123.1811508904</v>
      </c>
      <c r="H19" s="60">
        <f t="shared" ref="H19:K19" si="13">SUM(H20:H21)</f>
        <v>-2924232.8072142759</v>
      </c>
      <c r="I19" s="60">
        <f t="shared" si="13"/>
        <v>-1773893.4031901476</v>
      </c>
      <c r="J19" s="60">
        <f t="shared" si="13"/>
        <v>154450.12791273743</v>
      </c>
      <c r="K19" s="60">
        <f t="shared" si="13"/>
        <v>2679263.489775971</v>
      </c>
    </row>
    <row r="20" spans="3:11" x14ac:dyDescent="0.25">
      <c r="D20" s="62" t="s">
        <v>188</v>
      </c>
      <c r="E20" s="63">
        <f>B_GT!E90</f>
        <v>-5518383.330000204</v>
      </c>
      <c r="F20" s="63">
        <f>B_GT!F90</f>
        <v>-2166703.7100000032</v>
      </c>
      <c r="G20" s="63">
        <f>+G37</f>
        <v>-578558.65615089051</v>
      </c>
      <c r="H20" s="63">
        <f t="shared" ref="H20:K20" si="14">+H37</f>
        <v>285890.37393661449</v>
      </c>
      <c r="I20" s="63">
        <f t="shared" si="14"/>
        <v>1150339.4040241283</v>
      </c>
      <c r="J20" s="63">
        <f t="shared" si="14"/>
        <v>1928343.531102885</v>
      </c>
      <c r="K20" s="63">
        <f t="shared" si="14"/>
        <v>2524813.3618632336</v>
      </c>
    </row>
    <row r="21" spans="3:11" x14ac:dyDescent="0.25">
      <c r="D21" s="62" t="s">
        <v>189</v>
      </c>
      <c r="E21" s="63">
        <f>E19-E20</f>
        <v>2989360.76</v>
      </c>
      <c r="F21" s="63">
        <f>F19-F20</f>
        <v>-2631564.5249999999</v>
      </c>
      <c r="G21" s="63">
        <f>F21</f>
        <v>-2631564.5249999999</v>
      </c>
      <c r="H21" s="63">
        <f>+G19</f>
        <v>-3210123.1811508904</v>
      </c>
      <c r="I21" s="63">
        <f>+H19</f>
        <v>-2924232.8072142759</v>
      </c>
      <c r="J21" s="63">
        <f t="shared" ref="J21:K21" si="15">+I19</f>
        <v>-1773893.4031901476</v>
      </c>
      <c r="K21" s="63">
        <f t="shared" si="15"/>
        <v>154450.12791273743</v>
      </c>
    </row>
    <row r="22" spans="3:11" x14ac:dyDescent="0.25">
      <c r="D22" s="62"/>
      <c r="E22" s="63"/>
      <c r="F22" s="63"/>
      <c r="G22" s="63"/>
      <c r="H22" s="63"/>
      <c r="I22" s="63"/>
      <c r="J22" s="63"/>
      <c r="K22" s="63"/>
    </row>
    <row r="23" spans="3:11" x14ac:dyDescent="0.25">
      <c r="E23" s="63"/>
      <c r="F23" s="63"/>
      <c r="G23" s="63"/>
      <c r="H23" s="63"/>
      <c r="I23" s="63"/>
      <c r="J23" s="63"/>
      <c r="K23" s="63"/>
    </row>
    <row r="24" spans="3:11" s="66" customFormat="1" x14ac:dyDescent="0.25">
      <c r="C24" s="68"/>
      <c r="D24" s="66" t="s">
        <v>195</v>
      </c>
      <c r="E24" s="67"/>
      <c r="F24" s="67"/>
      <c r="G24" s="73">
        <v>0.43</v>
      </c>
      <c r="H24" s="73">
        <v>0.25</v>
      </c>
      <c r="I24" s="73">
        <v>0.2</v>
      </c>
      <c r="J24" s="73">
        <v>0.15</v>
      </c>
      <c r="K24" s="73">
        <v>0.1</v>
      </c>
    </row>
    <row r="25" spans="3:11" s="64" customFormat="1" x14ac:dyDescent="0.25">
      <c r="C25"/>
      <c r="D25" s="64" t="s">
        <v>184</v>
      </c>
      <c r="E25" s="58" t="s">
        <v>147</v>
      </c>
      <c r="F25" s="58" t="s">
        <v>148</v>
      </c>
      <c r="G25" s="58" t="s">
        <v>200</v>
      </c>
      <c r="H25" s="58" t="s">
        <v>201</v>
      </c>
      <c r="I25" s="58" t="s">
        <v>202</v>
      </c>
      <c r="J25" s="58" t="s">
        <v>203</v>
      </c>
      <c r="K25" s="58" t="s">
        <v>204</v>
      </c>
    </row>
    <row r="26" spans="3:11" x14ac:dyDescent="0.25">
      <c r="D26" s="59" t="s">
        <v>185</v>
      </c>
      <c r="E26" s="60">
        <f>SUM(B_GT!E103,B_GT!E112)</f>
        <v>119903016.3649998</v>
      </c>
      <c r="F26" s="60">
        <f>SUM(B_GT!F103,B_GT!F112)</f>
        <v>267898258.28500003</v>
      </c>
      <c r="G26" s="60">
        <f>F26*(1+G24)</f>
        <v>383094509.34755003</v>
      </c>
      <c r="H26" s="60">
        <f t="shared" ref="H26:K26" si="16">G26*(1+H24)</f>
        <v>478868136.68443751</v>
      </c>
      <c r="I26" s="60">
        <f t="shared" si="16"/>
        <v>574641764.02132499</v>
      </c>
      <c r="J26" s="60">
        <f t="shared" si="16"/>
        <v>660838028.62452364</v>
      </c>
      <c r="K26" s="60">
        <f t="shared" si="16"/>
        <v>726921831.48697603</v>
      </c>
    </row>
    <row r="27" spans="3:11" x14ac:dyDescent="0.25">
      <c r="D27" s="59" t="s">
        <v>186</v>
      </c>
      <c r="E27" s="60">
        <f>B_GT!E104</f>
        <v>-107088308.035</v>
      </c>
      <c r="F27" s="60">
        <f>B_GT!F104</f>
        <v>-242846141.67499998</v>
      </c>
      <c r="G27" s="60">
        <f>+G26*G28</f>
        <v>-347269982.59524995</v>
      </c>
      <c r="H27" s="60">
        <f t="shared" ref="H27:K27" si="17">+H26*H28</f>
        <v>-434087478.24406242</v>
      </c>
      <c r="I27" s="60">
        <f t="shared" si="17"/>
        <v>-520904973.8928749</v>
      </c>
      <c r="J27" s="60">
        <f t="shared" si="17"/>
        <v>-599040719.97680604</v>
      </c>
      <c r="K27" s="60">
        <f t="shared" si="17"/>
        <v>-658944791.97448671</v>
      </c>
    </row>
    <row r="28" spans="3:11" s="70" customFormat="1" x14ac:dyDescent="0.25">
      <c r="C28" s="69"/>
      <c r="D28" s="70" t="s">
        <v>196</v>
      </c>
      <c r="E28" s="71">
        <f>+E27/E26</f>
        <v>-0.89312438737162181</v>
      </c>
      <c r="F28" s="71">
        <f t="shared" ref="F28" si="18">+F27/F26</f>
        <v>-0.90648645209425482</v>
      </c>
      <c r="G28" s="71">
        <f>+F28</f>
        <v>-0.90648645209425482</v>
      </c>
      <c r="H28" s="71">
        <f t="shared" ref="H28:K32" si="19">+G28</f>
        <v>-0.90648645209425482</v>
      </c>
      <c r="I28" s="71">
        <f t="shared" si="19"/>
        <v>-0.90648645209425482</v>
      </c>
      <c r="J28" s="71">
        <f t="shared" si="19"/>
        <v>-0.90648645209425482</v>
      </c>
      <c r="K28" s="71">
        <f t="shared" si="19"/>
        <v>-0.90648645209425482</v>
      </c>
    </row>
    <row r="29" spans="3:11" x14ac:dyDescent="0.25">
      <c r="D29" s="59" t="s">
        <v>187</v>
      </c>
      <c r="E29" s="60">
        <f>B_GT!E107</f>
        <v>-11464714.074999999</v>
      </c>
      <c r="F29" s="60">
        <f>B_GT!F107</f>
        <v>-20512214.774999999</v>
      </c>
      <c r="G29" s="60">
        <f>G26*G30</f>
        <v>-29332467.128249995</v>
      </c>
      <c r="H29" s="60">
        <f t="shared" ref="H29:K29" si="20">H26*H30</f>
        <v>-36665583.910312496</v>
      </c>
      <c r="I29" s="60">
        <f t="shared" si="20"/>
        <v>-43998700.692374989</v>
      </c>
      <c r="J29" s="60">
        <f t="shared" si="20"/>
        <v>-50598505.796231233</v>
      </c>
      <c r="K29" s="60">
        <f t="shared" si="20"/>
        <v>-55658356.375854358</v>
      </c>
    </row>
    <row r="30" spans="3:11" s="70" customFormat="1" x14ac:dyDescent="0.25">
      <c r="C30" s="69"/>
      <c r="D30" s="70" t="s">
        <v>197</v>
      </c>
      <c r="E30" s="71">
        <f>+E29/E26</f>
        <v>-9.5616560972077408E-2</v>
      </c>
      <c r="F30" s="71">
        <f t="shared" ref="F30" si="21">+F29/F26</f>
        <v>-7.6567182281485194E-2</v>
      </c>
      <c r="G30" s="71">
        <f>+F30</f>
        <v>-7.6567182281485194E-2</v>
      </c>
      <c r="H30" s="71">
        <f t="shared" si="19"/>
        <v>-7.6567182281485194E-2</v>
      </c>
      <c r="I30" s="71">
        <f t="shared" si="19"/>
        <v>-7.6567182281485194E-2</v>
      </c>
      <c r="J30" s="71">
        <f t="shared" si="19"/>
        <v>-7.6567182281485194E-2</v>
      </c>
      <c r="K30" s="71">
        <f t="shared" si="19"/>
        <v>-7.6567182281485194E-2</v>
      </c>
    </row>
    <row r="31" spans="3:11" x14ac:dyDescent="0.25">
      <c r="D31" s="59" t="s">
        <v>190</v>
      </c>
      <c r="E31" s="60">
        <f>SUM(B_GT!E113,B_GT!E120)</f>
        <v>-3187440.665</v>
      </c>
      <c r="F31" s="60">
        <f>SUM(B_GT!F113,B_GT!F120)</f>
        <v>-2121862.59</v>
      </c>
      <c r="G31" s="60">
        <f>G26*G32</f>
        <v>-3034263.5036999998</v>
      </c>
      <c r="H31" s="60">
        <f t="shared" ref="H31:K31" si="22">H26*H32</f>
        <v>-3792829.3796249996</v>
      </c>
      <c r="I31" s="60">
        <f t="shared" si="22"/>
        <v>-4551395.255549999</v>
      </c>
      <c r="J31" s="60">
        <f t="shared" si="22"/>
        <v>-5234104.5438824985</v>
      </c>
      <c r="K31" s="60">
        <f t="shared" si="22"/>
        <v>-5757514.9982707482</v>
      </c>
    </row>
    <row r="32" spans="3:11" s="70" customFormat="1" x14ac:dyDescent="0.25">
      <c r="C32" s="69"/>
      <c r="D32" s="70" t="s">
        <v>198</v>
      </c>
      <c r="E32" s="71">
        <f>+E31/E26</f>
        <v>-2.6583490237618638E-2</v>
      </c>
      <c r="F32" s="71">
        <f>+F31/F26</f>
        <v>-7.9204045729281466E-3</v>
      </c>
      <c r="G32" s="71">
        <f>+F32</f>
        <v>-7.9204045729281466E-3</v>
      </c>
      <c r="H32" s="71">
        <f t="shared" si="19"/>
        <v>-7.9204045729281466E-3</v>
      </c>
      <c r="I32" s="71">
        <f t="shared" si="19"/>
        <v>-7.9204045729281466E-3</v>
      </c>
      <c r="J32" s="71">
        <f t="shared" si="19"/>
        <v>-7.9204045729281466E-3</v>
      </c>
      <c r="K32" s="71">
        <f t="shared" si="19"/>
        <v>-7.9204045729281466E-3</v>
      </c>
    </row>
    <row r="33" spans="3:11" x14ac:dyDescent="0.25">
      <c r="D33" s="59" t="s">
        <v>191</v>
      </c>
      <c r="E33" s="60">
        <f>+B_GT!E116</f>
        <v>-3680936.9199999995</v>
      </c>
      <c r="F33" s="60">
        <f>+B_GT!F116</f>
        <v>-4584742.9550000001</v>
      </c>
      <c r="G33" s="60">
        <f>AVERAGE(F16:G16)*G34</f>
        <v>-4036354.776500979</v>
      </c>
      <c r="H33" s="60">
        <f>AVERAGE(G16:H16)*H34</f>
        <v>-4036354.776500979</v>
      </c>
      <c r="I33" s="60">
        <f t="shared" ref="I33:K33" si="23">AVERAGE(H16:I16)*I34</f>
        <v>-4036354.776500979</v>
      </c>
      <c r="J33" s="60">
        <f t="shared" si="23"/>
        <v>-4036354.776500979</v>
      </c>
      <c r="K33" s="60">
        <f t="shared" si="23"/>
        <v>-4036354.776500979</v>
      </c>
    </row>
    <row r="34" spans="3:11" s="70" customFormat="1" x14ac:dyDescent="0.25">
      <c r="C34" s="69"/>
      <c r="D34" s="70" t="s">
        <v>199</v>
      </c>
      <c r="E34" s="71"/>
      <c r="F34" s="71">
        <f>+F33/AVERAGE(E16:F16)</f>
        <v>-0.38466086257496629</v>
      </c>
      <c r="G34" s="71">
        <f>+F34</f>
        <v>-0.38466086257496629</v>
      </c>
      <c r="H34" s="71">
        <f t="shared" ref="H34:K34" si="24">+G34</f>
        <v>-0.38466086257496629</v>
      </c>
      <c r="I34" s="71">
        <f t="shared" si="24"/>
        <v>-0.38466086257496629</v>
      </c>
      <c r="J34" s="71">
        <f t="shared" si="24"/>
        <v>-0.38466086257496629</v>
      </c>
      <c r="K34" s="71">
        <f t="shared" si="24"/>
        <v>-0.38466086257496629</v>
      </c>
    </row>
    <row r="35" spans="3:11" x14ac:dyDescent="0.25">
      <c r="D35" s="59" t="s">
        <v>194</v>
      </c>
      <c r="E35" s="60">
        <f t="shared" ref="E35:K35" si="25">+E26+E27+E29+E31+E33</f>
        <v>-5518383.3300001938</v>
      </c>
      <c r="F35" s="60">
        <f t="shared" si="25"/>
        <v>-2166703.7099999543</v>
      </c>
      <c r="G35" s="60">
        <f t="shared" si="25"/>
        <v>-578558.65615089051</v>
      </c>
      <c r="H35" s="60">
        <f t="shared" si="25"/>
        <v>285890.37393661449</v>
      </c>
      <c r="I35" s="60">
        <f t="shared" si="25"/>
        <v>1150339.4040241283</v>
      </c>
      <c r="J35" s="60">
        <f t="shared" si="25"/>
        <v>1928343.531102885</v>
      </c>
      <c r="K35" s="60">
        <f t="shared" si="25"/>
        <v>2524813.3618632336</v>
      </c>
    </row>
    <row r="36" spans="3:11" x14ac:dyDescent="0.25">
      <c r="D36" s="59" t="s">
        <v>192</v>
      </c>
      <c r="E36" s="60">
        <v>0</v>
      </c>
      <c r="F36" s="60">
        <v>0</v>
      </c>
      <c r="G36" s="60">
        <v>0</v>
      </c>
      <c r="H36" s="60">
        <v>0</v>
      </c>
      <c r="I36" s="60">
        <v>0</v>
      </c>
      <c r="J36" s="60">
        <v>0</v>
      </c>
      <c r="K36" s="60">
        <v>0</v>
      </c>
    </row>
    <row r="37" spans="3:11" x14ac:dyDescent="0.25">
      <c r="D37" s="59" t="s">
        <v>193</v>
      </c>
      <c r="E37" s="60">
        <f>+E35+E36</f>
        <v>-5518383.3300001938</v>
      </c>
      <c r="F37" s="60">
        <f>+F35+F36</f>
        <v>-2166703.7099999543</v>
      </c>
      <c r="G37" s="60">
        <f t="shared" ref="G37:K37" si="26">+G35+G36</f>
        <v>-578558.65615089051</v>
      </c>
      <c r="H37" s="60">
        <f t="shared" si="26"/>
        <v>285890.37393661449</v>
      </c>
      <c r="I37" s="60">
        <f t="shared" si="26"/>
        <v>1150339.4040241283</v>
      </c>
      <c r="J37" s="60">
        <f t="shared" si="26"/>
        <v>1928343.531102885</v>
      </c>
      <c r="K37" s="60">
        <f t="shared" si="26"/>
        <v>2524813.3618632336</v>
      </c>
    </row>
    <row r="38" spans="3:11" x14ac:dyDescent="0.25">
      <c r="E38" s="60"/>
      <c r="F38" s="60"/>
      <c r="G38" s="60"/>
      <c r="H38" s="60"/>
      <c r="I38" s="60"/>
      <c r="J38" s="60"/>
      <c r="K38" s="60"/>
    </row>
    <row r="39" spans="3:11" x14ac:dyDescent="0.25">
      <c r="E39" s="60"/>
      <c r="F39" s="60"/>
      <c r="G39" s="60"/>
      <c r="H39" s="60"/>
      <c r="I39" s="60"/>
      <c r="J39" s="60"/>
      <c r="K39" s="60"/>
    </row>
    <row r="40" spans="3:11" x14ac:dyDescent="0.25">
      <c r="E40" s="60"/>
      <c r="F40" s="60"/>
      <c r="G40" s="60"/>
      <c r="H40" s="60"/>
      <c r="I40" s="60"/>
      <c r="J40" s="60"/>
      <c r="K40" s="60"/>
    </row>
    <row r="41" spans="3:11" x14ac:dyDescent="0.25">
      <c r="E41" s="60"/>
      <c r="F41" s="60"/>
      <c r="G41" s="60"/>
      <c r="H41" s="60"/>
      <c r="I41" s="60"/>
      <c r="J41" s="60"/>
      <c r="K41" s="60"/>
    </row>
    <row r="42" spans="3:11" x14ac:dyDescent="0.25">
      <c r="E42" s="60"/>
      <c r="F42" s="60"/>
      <c r="G42" s="60"/>
      <c r="H42" s="60"/>
      <c r="I42" s="60"/>
      <c r="J42" s="60"/>
      <c r="K42" s="60"/>
    </row>
    <row r="43" spans="3:11" x14ac:dyDescent="0.25">
      <c r="E43" s="60"/>
      <c r="F43" s="60"/>
      <c r="G43" s="60"/>
      <c r="H43" s="60"/>
      <c r="I43" s="60"/>
      <c r="J43" s="60"/>
      <c r="K43" s="60"/>
    </row>
    <row r="44" spans="3:11" x14ac:dyDescent="0.25">
      <c r="E44" s="60"/>
      <c r="F44" s="60"/>
      <c r="G44" s="60"/>
      <c r="H44" s="60"/>
      <c r="I44" s="60"/>
      <c r="J44" s="60"/>
      <c r="K44" s="60"/>
    </row>
    <row r="45" spans="3:11" x14ac:dyDescent="0.25">
      <c r="E45" s="60"/>
      <c r="F45" s="60"/>
      <c r="G45" s="60"/>
      <c r="H45" s="60"/>
      <c r="I45" s="60"/>
      <c r="J45" s="60"/>
      <c r="K45" s="60"/>
    </row>
    <row r="46" spans="3:11" x14ac:dyDescent="0.25">
      <c r="E46" s="60"/>
      <c r="F46" s="60"/>
      <c r="G46" s="60"/>
      <c r="H46" s="60"/>
      <c r="I46" s="60"/>
      <c r="J46" s="60"/>
      <c r="K46" s="60"/>
    </row>
  </sheetData>
  <phoneticPr fontId="1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02386-EB49-4E00-A74B-FA33A386F6DF}">
  <dimension ref="B2:L47"/>
  <sheetViews>
    <sheetView zoomScale="115" zoomScaleNormal="115" workbookViewId="0"/>
  </sheetViews>
  <sheetFormatPr defaultRowHeight="18.75" x14ac:dyDescent="0.25"/>
  <cols>
    <col min="1" max="2" width="9.140625" style="59"/>
    <col min="4" max="4" width="47.85546875" style="59" bestFit="1" customWidth="1"/>
    <col min="5" max="5" width="17.140625" style="59" bestFit="1" customWidth="1"/>
    <col min="6" max="11" width="19.28515625" style="59" customWidth="1"/>
    <col min="12" max="16384" width="9.140625" style="59"/>
  </cols>
  <sheetData>
    <row r="2" spans="2:11" x14ac:dyDescent="0.25">
      <c r="D2" s="57" t="s">
        <v>1</v>
      </c>
      <c r="E2" s="58" t="s">
        <v>147</v>
      </c>
      <c r="F2" s="58" t="s">
        <v>148</v>
      </c>
      <c r="G2" s="58" t="s">
        <v>200</v>
      </c>
      <c r="H2" s="58" t="s">
        <v>201</v>
      </c>
      <c r="I2" s="58" t="s">
        <v>202</v>
      </c>
      <c r="J2" s="58" t="s">
        <v>203</v>
      </c>
      <c r="K2" s="58" t="s">
        <v>204</v>
      </c>
    </row>
    <row r="3" spans="2:11" x14ac:dyDescent="0.25">
      <c r="D3" s="57" t="s">
        <v>175</v>
      </c>
      <c r="E3" s="65">
        <f>SUM(E4:E7,E10:E12)</f>
        <v>58425622.544999719</v>
      </c>
      <c r="F3" s="65">
        <f>SUM(F4:F7,F10:F12)</f>
        <v>103030241.60499986</v>
      </c>
      <c r="G3" s="65">
        <f t="shared" ref="G3:K3" ca="1" si="0">SUM(G4:G7,G10:G12)</f>
        <v>147638749.95698723</v>
      </c>
      <c r="H3" s="65">
        <f t="shared" ca="1" si="0"/>
        <v>189641721.72763377</v>
      </c>
      <c r="I3" s="65">
        <f t="shared" ca="1" si="0"/>
        <v>242621392.85748667</v>
      </c>
      <c r="J3" s="65">
        <f t="shared" ca="1" si="0"/>
        <v>306348075.51011741</v>
      </c>
      <c r="K3" s="65">
        <f t="shared" ca="1" si="0"/>
        <v>382826846.95860159</v>
      </c>
    </row>
    <row r="4" spans="2:11" x14ac:dyDescent="0.25">
      <c r="D4" s="59" t="s">
        <v>173</v>
      </c>
      <c r="E4" s="60">
        <f>+B_GT!E7+B_GT!E9</f>
        <v>124879.51999999891</v>
      </c>
      <c r="F4" s="60">
        <f>+B_GT!F7+B_GT!F9</f>
        <v>2303562.3550000042</v>
      </c>
      <c r="G4" s="60">
        <f ca="1">G15-SUM(G5:G7,G10:G12)</f>
        <v>17016477.186587468</v>
      </c>
      <c r="H4" s="60">
        <f ca="1">H15-SUM(H5:H7,H10:H12)</f>
        <v>34340735.854634047</v>
      </c>
      <c r="I4" s="60">
        <f t="shared" ref="I4:K4" ca="1" si="1">I15-SUM(I5:I7,I10:I12)</f>
        <v>62641693.881887048</v>
      </c>
      <c r="J4" s="60">
        <f t="shared" ca="1" si="1"/>
        <v>104262125.15517783</v>
      </c>
      <c r="K4" s="60">
        <f t="shared" ca="1" si="1"/>
        <v>164036814.84316805</v>
      </c>
    </row>
    <row r="5" spans="2:11" x14ac:dyDescent="0.25">
      <c r="D5" s="59" t="s">
        <v>149</v>
      </c>
      <c r="E5" s="60">
        <f>SUM(B_GT!E12:E13,B_GT!E8,B_GT!E10)-B_GT!E69-B_GT!E73</f>
        <v>28536128.88500008</v>
      </c>
      <c r="F5" s="60">
        <f>SUM(B_GT!F12:F13,B_GT!F8,B_GT!F10)-B_GT!F69-B_GT!F73</f>
        <v>40314011.114999823</v>
      </c>
      <c r="G5" s="60">
        <f>+$F$5/$F$26*G26</f>
        <v>57649035.894449748</v>
      </c>
      <c r="H5" s="60">
        <f t="shared" ref="H5:K5" si="2">+$F$5/$F$26*H26</f>
        <v>72061294.868062183</v>
      </c>
      <c r="I5" s="60">
        <f t="shared" si="2"/>
        <v>86473553.841674611</v>
      </c>
      <c r="J5" s="60">
        <f t="shared" si="2"/>
        <v>99444586.91792579</v>
      </c>
      <c r="K5" s="60">
        <f t="shared" si="2"/>
        <v>109389045.60971838</v>
      </c>
    </row>
    <row r="6" spans="2:11" x14ac:dyDescent="0.25">
      <c r="D6" s="59" t="s">
        <v>150</v>
      </c>
      <c r="E6" s="60">
        <f>SUM(B_GT!E20:E24)</f>
        <v>11916044.329999994</v>
      </c>
      <c r="F6" s="60">
        <f>SUM(B_GT!F20:F24)</f>
        <v>29050149.395000003</v>
      </c>
      <c r="G6" s="60">
        <f>+$F$6/$F$27*G27</f>
        <v>41541713.634850003</v>
      </c>
      <c r="H6" s="60">
        <f t="shared" ref="H6:K6" si="3">+$F$6/$F$27*H27</f>
        <v>51927142.043562502</v>
      </c>
      <c r="I6" s="60">
        <f t="shared" si="3"/>
        <v>62312570.452275001</v>
      </c>
      <c r="J6" s="60">
        <f t="shared" si="3"/>
        <v>71659456.02011624</v>
      </c>
      <c r="K6" s="60">
        <f t="shared" si="3"/>
        <v>78825401.622127876</v>
      </c>
    </row>
    <row r="7" spans="2:11" x14ac:dyDescent="0.25">
      <c r="D7" s="59" t="s">
        <v>174</v>
      </c>
      <c r="E7" s="60">
        <f>SUM(B_GT!E37,B_GT!E44)</f>
        <v>12323662.055</v>
      </c>
      <c r="F7" s="60">
        <f>SUM(B_GT!F37,B_GT!F44)</f>
        <v>14861475.180000003</v>
      </c>
      <c r="G7" s="60">
        <f>SUM(G8:G9)</f>
        <v>13815571.050000003</v>
      </c>
      <c r="H7" s="60">
        <f t="shared" ref="H7:K7" si="4">SUM(H8:H9)</f>
        <v>12769666.920000002</v>
      </c>
      <c r="I7" s="60">
        <f t="shared" si="4"/>
        <v>11723762.790000001</v>
      </c>
      <c r="J7" s="60">
        <f t="shared" si="4"/>
        <v>10677858.66</v>
      </c>
      <c r="K7" s="60">
        <f t="shared" si="4"/>
        <v>9631954.5299999993</v>
      </c>
    </row>
    <row r="8" spans="2:11" x14ac:dyDescent="0.25">
      <c r="D8" s="62" t="s">
        <v>182</v>
      </c>
      <c r="E8" s="63">
        <f>+E7-E9</f>
        <v>19149268.82</v>
      </c>
      <c r="F8" s="63">
        <f>+F7-F9</f>
        <v>22732986.075000003</v>
      </c>
      <c r="G8" s="63">
        <f>+F8</f>
        <v>22732986.075000003</v>
      </c>
      <c r="H8" s="63">
        <f t="shared" ref="H8:K8" si="5">+G8</f>
        <v>22732986.075000003</v>
      </c>
      <c r="I8" s="63">
        <f t="shared" si="5"/>
        <v>22732986.075000003</v>
      </c>
      <c r="J8" s="63">
        <f t="shared" si="5"/>
        <v>22732986.075000003</v>
      </c>
      <c r="K8" s="63">
        <f t="shared" si="5"/>
        <v>22732986.075000003</v>
      </c>
    </row>
    <row r="9" spans="2:11" x14ac:dyDescent="0.25">
      <c r="D9" s="62" t="s">
        <v>183</v>
      </c>
      <c r="E9" s="63">
        <f>SUM(B_GT!E43,B_GT!E47)</f>
        <v>-6825606.7649999987</v>
      </c>
      <c r="F9" s="63">
        <f>SUM(B_GT!F43,B_GT!F47)</f>
        <v>-7871510.8949999996</v>
      </c>
      <c r="G9" s="63">
        <f>+F9-E9+F9</f>
        <v>-8917415.0250000004</v>
      </c>
      <c r="H9" s="63">
        <f t="shared" ref="H9:K9" si="6">+G9-F9+G9</f>
        <v>-9963319.1550000012</v>
      </c>
      <c r="I9" s="63">
        <f t="shared" si="6"/>
        <v>-11009223.285000002</v>
      </c>
      <c r="J9" s="63">
        <f t="shared" si="6"/>
        <v>-12055127.415000003</v>
      </c>
      <c r="K9" s="63">
        <f t="shared" si="6"/>
        <v>-13101031.545000004</v>
      </c>
    </row>
    <row r="10" spans="2:11" x14ac:dyDescent="0.25">
      <c r="D10" s="59" t="s">
        <v>178</v>
      </c>
      <c r="E10" s="60">
        <f>SUM(B_GT!E29:E31)-B_GT!E75</f>
        <v>178434.91500000001</v>
      </c>
      <c r="F10" s="60">
        <f>SUM(B_GT!F29:F31)-B_GT!F75</f>
        <v>2592810.7700000037</v>
      </c>
      <c r="G10" s="60">
        <f>+$F$10/$F$26*G26</f>
        <v>3707719.401100005</v>
      </c>
      <c r="H10" s="60">
        <f t="shared" ref="H10:K10" si="7">+$F$10/$F$26*H26</f>
        <v>4634649.2513750065</v>
      </c>
      <c r="I10" s="60">
        <f t="shared" si="7"/>
        <v>5561579.1016500071</v>
      </c>
      <c r="J10" s="60">
        <f t="shared" si="7"/>
        <v>6395815.9668975072</v>
      </c>
      <c r="K10" s="60">
        <f t="shared" si="7"/>
        <v>7035397.5635872586</v>
      </c>
    </row>
    <row r="11" spans="2:11" x14ac:dyDescent="0.25">
      <c r="D11" s="59" t="s">
        <v>179</v>
      </c>
      <c r="E11" s="60">
        <f>B_GT!E18-B_GT!E65</f>
        <v>2298129.87</v>
      </c>
      <c r="F11" s="60">
        <f>B_GT!F18-B_GT!F65</f>
        <v>11637735.235000001</v>
      </c>
      <c r="G11" s="60">
        <f>+F11</f>
        <v>11637735.235000001</v>
      </c>
      <c r="H11" s="60">
        <f t="shared" ref="H11:K12" si="8">+G11</f>
        <v>11637735.235000001</v>
      </c>
      <c r="I11" s="60">
        <f t="shared" si="8"/>
        <v>11637735.235000001</v>
      </c>
      <c r="J11" s="60">
        <f t="shared" si="8"/>
        <v>11637735.235000001</v>
      </c>
      <c r="K11" s="60">
        <f t="shared" si="8"/>
        <v>11637735.235000001</v>
      </c>
    </row>
    <row r="12" spans="2:11" x14ac:dyDescent="0.25">
      <c r="D12" s="59" t="s">
        <v>181</v>
      </c>
      <c r="E12" s="60">
        <f>SUM(B_GT!E14:E16,B_GT!E32:E33,B_GT!E36)</f>
        <v>3048342.9699996505</v>
      </c>
      <c r="F12" s="60">
        <f>SUM(B_GT!F14:F16,B_GT!F32:F33,B_GT!F36)</f>
        <v>2270497.5550000011</v>
      </c>
      <c r="G12" s="60">
        <f>+F12</f>
        <v>2270497.5550000011</v>
      </c>
      <c r="H12" s="60">
        <f t="shared" si="8"/>
        <v>2270497.5550000011</v>
      </c>
      <c r="I12" s="60">
        <f t="shared" si="8"/>
        <v>2270497.5550000011</v>
      </c>
      <c r="J12" s="60">
        <f t="shared" si="8"/>
        <v>2270497.5550000011</v>
      </c>
      <c r="K12" s="60">
        <f t="shared" si="8"/>
        <v>2270497.5550000011</v>
      </c>
    </row>
    <row r="13" spans="2:11" x14ac:dyDescent="0.25">
      <c r="E13" s="60"/>
      <c r="F13" s="60"/>
      <c r="G13" s="60"/>
      <c r="H13" s="60"/>
      <c r="I13" s="60"/>
      <c r="J13" s="60"/>
      <c r="K13" s="60"/>
    </row>
    <row r="14" spans="2:11" x14ac:dyDescent="0.25">
      <c r="D14" s="57" t="s">
        <v>1</v>
      </c>
      <c r="E14" s="58" t="s">
        <v>147</v>
      </c>
      <c r="F14" s="58" t="s">
        <v>148</v>
      </c>
      <c r="G14" s="58" t="s">
        <v>200</v>
      </c>
      <c r="H14" s="58" t="s">
        <v>201</v>
      </c>
      <c r="I14" s="58" t="s">
        <v>202</v>
      </c>
      <c r="J14" s="58" t="s">
        <v>203</v>
      </c>
      <c r="K14" s="58" t="s">
        <v>204</v>
      </c>
    </row>
    <row r="15" spans="2:11" s="64" customFormat="1" x14ac:dyDescent="0.25">
      <c r="B15" s="59"/>
      <c r="C15"/>
      <c r="D15" s="64" t="s">
        <v>176</v>
      </c>
      <c r="E15" s="65">
        <f>SUM(E16:E19)</f>
        <v>58425622.544999793</v>
      </c>
      <c r="F15" s="65">
        <f>SUM(F16:F19)</f>
        <v>103030241.60500002</v>
      </c>
      <c r="G15" s="65">
        <f ca="1">SUM(G16:G19)</f>
        <v>147638749.95698723</v>
      </c>
      <c r="H15" s="65">
        <f t="shared" ref="H15:K15" ca="1" si="9">SUM(H16:H19)</f>
        <v>189641721.72763377</v>
      </c>
      <c r="I15" s="65">
        <f t="shared" ca="1" si="9"/>
        <v>242621392.85748667</v>
      </c>
      <c r="J15" s="65">
        <f t="shared" ca="1" si="9"/>
        <v>306348075.51011741</v>
      </c>
      <c r="K15" s="65">
        <f t="shared" ca="1" si="9"/>
        <v>382826846.95860159</v>
      </c>
    </row>
    <row r="16" spans="2:11" x14ac:dyDescent="0.25">
      <c r="D16" s="59" t="s">
        <v>177</v>
      </c>
      <c r="E16" s="60">
        <f>+B_GT!E56+B_GT!E57+B_GT!E78+B_GT!E79+B_GT!E80</f>
        <v>13344563.049999997</v>
      </c>
      <c r="F16" s="60">
        <f>+B_GT!F56+B_GT!F57+B_GT!F78+B_GT!F79+B_GT!F80</f>
        <v>10493281.665000001</v>
      </c>
      <c r="G16" s="60">
        <f>+F16</f>
        <v>10493281.665000001</v>
      </c>
      <c r="H16" s="60">
        <f>+G16</f>
        <v>10493281.665000001</v>
      </c>
      <c r="I16" s="60">
        <f>+H16</f>
        <v>10493281.665000001</v>
      </c>
      <c r="J16" s="60">
        <f>+I16</f>
        <v>10493281.665000001</v>
      </c>
      <c r="K16" s="60">
        <f>+J16</f>
        <v>10493281.665000001</v>
      </c>
    </row>
    <row r="17" spans="3:11" x14ac:dyDescent="0.25">
      <c r="D17" s="59" t="s">
        <v>151</v>
      </c>
      <c r="E17" s="60">
        <f>SUM(B_GT!E60:E61,B_GT!E63,B_GT!E58)-B_GT!E26-B_GT!E27-B_GT!E49</f>
        <v>42039917.814999998</v>
      </c>
      <c r="F17" s="60">
        <f>SUM(B_GT!F60:F61,B_GT!F63,B_GT!F58)-B_GT!F26-B_GT!F27-B_GT!F49</f>
        <v>93307807.830000013</v>
      </c>
      <c r="G17" s="60">
        <f>+$F$17/SUM($F$27,$F$29)*SUM(G27,G29)</f>
        <v>133430165.19690001</v>
      </c>
      <c r="H17" s="60">
        <f t="shared" ref="H17:K17" si="10">+$F$17/SUM($F$27,$F$29)*SUM(H27,H29)</f>
        <v>166787706.49612498</v>
      </c>
      <c r="I17" s="60">
        <f t="shared" si="10"/>
        <v>200145247.79535002</v>
      </c>
      <c r="J17" s="60">
        <f t="shared" si="10"/>
        <v>230167034.96465248</v>
      </c>
      <c r="K17" s="60">
        <f t="shared" si="10"/>
        <v>253183738.46111774</v>
      </c>
    </row>
    <row r="18" spans="3:11" x14ac:dyDescent="0.25">
      <c r="D18" s="59" t="s">
        <v>84</v>
      </c>
      <c r="E18" s="60">
        <f>SUM(B_GT!E62,B_GT!E66:E67,B_GT!E71)</f>
        <v>5570164.2500000009</v>
      </c>
      <c r="F18" s="60">
        <f>SUM(B_GT!F62,B_GT!F66:F67,B_GT!F71)</f>
        <v>4027420.3449999951</v>
      </c>
      <c r="G18" s="60">
        <f>+F18</f>
        <v>4027420.3449999951</v>
      </c>
      <c r="H18" s="60">
        <f t="shared" ref="H18:K18" si="11">+G18</f>
        <v>4027420.3449999951</v>
      </c>
      <c r="I18" s="60">
        <f t="shared" si="11"/>
        <v>4027420.3449999951</v>
      </c>
      <c r="J18" s="60">
        <f t="shared" si="11"/>
        <v>4027420.3449999951</v>
      </c>
      <c r="K18" s="60">
        <f t="shared" si="11"/>
        <v>4027420.3449999951</v>
      </c>
    </row>
    <row r="19" spans="3:11" x14ac:dyDescent="0.25">
      <c r="D19" s="59" t="s">
        <v>180</v>
      </c>
      <c r="E19" s="60">
        <f>B_GT!E81</f>
        <v>-2529022.5700002043</v>
      </c>
      <c r="F19" s="60">
        <f>B_GT!F81</f>
        <v>-4798268.2350000031</v>
      </c>
      <c r="G19" s="60">
        <f ca="1">SUM(G20:G21)</f>
        <v>-312117.24991276953</v>
      </c>
      <c r="H19" s="60">
        <f t="shared" ref="H19:K19" ca="1" si="12">SUM(H20:H21)</f>
        <v>8333313.2215088019</v>
      </c>
      <c r="I19" s="60">
        <f t="shared" ca="1" si="12"/>
        <v>27955443.052136667</v>
      </c>
      <c r="J19" s="60">
        <f t="shared" ca="1" si="12"/>
        <v>61660338.535464935</v>
      </c>
      <c r="K19" s="60">
        <f t="shared" ca="1" si="12"/>
        <v>115122406.48748383</v>
      </c>
    </row>
    <row r="20" spans="3:11" x14ac:dyDescent="0.25">
      <c r="D20" s="62" t="s">
        <v>188</v>
      </c>
      <c r="E20" s="63">
        <f>B_GT!E90</f>
        <v>-5518383.330000204</v>
      </c>
      <c r="F20" s="63">
        <f>B_GT!F90</f>
        <v>-2166703.7100000032</v>
      </c>
      <c r="G20" s="63">
        <f ca="1">+G38</f>
        <v>2319447.2750872304</v>
      </c>
      <c r="H20" s="63">
        <f t="shared" ref="H20:K20" ca="1" si="13">+H38</f>
        <v>8645430.4714215714</v>
      </c>
      <c r="I20" s="63">
        <f t="shared" ca="1" si="13"/>
        <v>19622129.830627866</v>
      </c>
      <c r="J20" s="63">
        <f t="shared" ca="1" si="13"/>
        <v>33704895.483328268</v>
      </c>
      <c r="K20" s="63">
        <f t="shared" ca="1" si="13"/>
        <v>53462067.952018894</v>
      </c>
    </row>
    <row r="21" spans="3:11" x14ac:dyDescent="0.25">
      <c r="D21" s="62" t="s">
        <v>189</v>
      </c>
      <c r="E21" s="63">
        <f>E19-E20</f>
        <v>2989360.76</v>
      </c>
      <c r="F21" s="63">
        <f>F19-F20</f>
        <v>-2631564.5249999999</v>
      </c>
      <c r="G21" s="63">
        <f>F21</f>
        <v>-2631564.5249999999</v>
      </c>
      <c r="H21" s="63">
        <f ca="1">+G19</f>
        <v>-312117.24991276953</v>
      </c>
      <c r="I21" s="63">
        <f ca="1">+H19</f>
        <v>8333313.2215088019</v>
      </c>
      <c r="J21" s="63">
        <f t="shared" ref="J21:K21" ca="1" si="14">+I19</f>
        <v>27955443.052136667</v>
      </c>
      <c r="K21" s="63">
        <f t="shared" ca="1" si="14"/>
        <v>61660338.535464935</v>
      </c>
    </row>
    <row r="22" spans="3:11" x14ac:dyDescent="0.25">
      <c r="D22" s="62"/>
      <c r="E22" s="63"/>
      <c r="F22" s="63"/>
      <c r="G22" s="63"/>
      <c r="H22" s="63"/>
      <c r="I22" s="63"/>
      <c r="J22" s="63"/>
      <c r="K22" s="63"/>
    </row>
    <row r="23" spans="3:11" x14ac:dyDescent="0.25">
      <c r="E23" s="63"/>
      <c r="F23" s="63"/>
      <c r="G23" s="63"/>
      <c r="H23" s="63"/>
      <c r="I23" s="63"/>
      <c r="J23" s="63"/>
      <c r="K23" s="63"/>
    </row>
    <row r="24" spans="3:11" s="66" customFormat="1" x14ac:dyDescent="0.25">
      <c r="C24" s="68"/>
      <c r="D24" s="66" t="s">
        <v>195</v>
      </c>
      <c r="E24" s="67"/>
      <c r="F24" s="67"/>
      <c r="G24" s="73">
        <v>0.43</v>
      </c>
      <c r="H24" s="73">
        <v>0.25</v>
      </c>
      <c r="I24" s="73">
        <v>0.2</v>
      </c>
      <c r="J24" s="73">
        <v>0.15</v>
      </c>
      <c r="K24" s="73">
        <v>0.1</v>
      </c>
    </row>
    <row r="25" spans="3:11" s="64" customFormat="1" x14ac:dyDescent="0.25">
      <c r="C25"/>
      <c r="D25" s="64" t="s">
        <v>184</v>
      </c>
      <c r="E25" s="58" t="s">
        <v>147</v>
      </c>
      <c r="F25" s="58" t="s">
        <v>148</v>
      </c>
      <c r="G25" s="58" t="s">
        <v>200</v>
      </c>
      <c r="H25" s="58" t="s">
        <v>201</v>
      </c>
      <c r="I25" s="58" t="s">
        <v>202</v>
      </c>
      <c r="J25" s="58" t="s">
        <v>203</v>
      </c>
      <c r="K25" s="58" t="s">
        <v>204</v>
      </c>
    </row>
    <row r="26" spans="3:11" x14ac:dyDescent="0.25">
      <c r="D26" s="59" t="s">
        <v>185</v>
      </c>
      <c r="E26" s="60">
        <f>SUM(B_GT!E103,B_GT!E112)</f>
        <v>119903016.3649998</v>
      </c>
      <c r="F26" s="60">
        <f>SUM(B_GT!F103,B_GT!F112)</f>
        <v>267898258.28500003</v>
      </c>
      <c r="G26" s="60">
        <f>F26*(1+G24)</f>
        <v>383094509.34755003</v>
      </c>
      <c r="H26" s="60">
        <f t="shared" ref="H26:K26" si="15">G26*(1+H24)</f>
        <v>478868136.68443751</v>
      </c>
      <c r="I26" s="60">
        <f t="shared" si="15"/>
        <v>574641764.02132499</v>
      </c>
      <c r="J26" s="60">
        <f t="shared" si="15"/>
        <v>660838028.62452364</v>
      </c>
      <c r="K26" s="60">
        <f t="shared" si="15"/>
        <v>726921831.48697603</v>
      </c>
    </row>
    <row r="27" spans="3:11" x14ac:dyDescent="0.25">
      <c r="D27" s="59" t="s">
        <v>186</v>
      </c>
      <c r="E27" s="60">
        <f>B_GT!E104</f>
        <v>-107088308.035</v>
      </c>
      <c r="F27" s="60">
        <f>B_GT!F104</f>
        <v>-242846141.67499998</v>
      </c>
      <c r="G27" s="60">
        <f>+G26*G28</f>
        <v>-347269982.59524995</v>
      </c>
      <c r="H27" s="60">
        <f t="shared" ref="H27:K27" si="16">+H26*H28</f>
        <v>-434087478.24406242</v>
      </c>
      <c r="I27" s="60">
        <f t="shared" si="16"/>
        <v>-520904973.8928749</v>
      </c>
      <c r="J27" s="60">
        <f t="shared" si="16"/>
        <v>-599040719.97680604</v>
      </c>
      <c r="K27" s="60">
        <f t="shared" si="16"/>
        <v>-658944791.97448671</v>
      </c>
    </row>
    <row r="28" spans="3:11" s="70" customFormat="1" x14ac:dyDescent="0.25">
      <c r="C28" s="69"/>
      <c r="D28" s="70" t="s">
        <v>196</v>
      </c>
      <c r="E28" s="71">
        <f>+E27/E26</f>
        <v>-0.89312438737162181</v>
      </c>
      <c r="F28" s="71">
        <f t="shared" ref="F28" si="17">+F27/F26</f>
        <v>-0.90648645209425482</v>
      </c>
      <c r="G28" s="71">
        <f>+F28</f>
        <v>-0.90648645209425482</v>
      </c>
      <c r="H28" s="71">
        <f t="shared" ref="H28:K32" si="18">+G28</f>
        <v>-0.90648645209425482</v>
      </c>
      <c r="I28" s="71">
        <f t="shared" si="18"/>
        <v>-0.90648645209425482</v>
      </c>
      <c r="J28" s="71">
        <f t="shared" si="18"/>
        <v>-0.90648645209425482</v>
      </c>
      <c r="K28" s="71">
        <f t="shared" si="18"/>
        <v>-0.90648645209425482</v>
      </c>
    </row>
    <row r="29" spans="3:11" x14ac:dyDescent="0.25">
      <c r="D29" s="59" t="s">
        <v>187</v>
      </c>
      <c r="E29" s="60">
        <f>B_GT!E107</f>
        <v>-11464714.074999999</v>
      </c>
      <c r="F29" s="60">
        <f>B_GT!F107</f>
        <v>-20512214.774999999</v>
      </c>
      <c r="G29" s="60">
        <f>G26*G30</f>
        <v>-29332467.128249995</v>
      </c>
      <c r="H29" s="60">
        <f t="shared" ref="H29:K29" si="19">H26*H30</f>
        <v>-36665583.910312496</v>
      </c>
      <c r="I29" s="60">
        <f t="shared" si="19"/>
        <v>-43998700.692374989</v>
      </c>
      <c r="J29" s="60">
        <f t="shared" si="19"/>
        <v>-50598505.796231233</v>
      </c>
      <c r="K29" s="60">
        <f t="shared" si="19"/>
        <v>-55658356.375854358</v>
      </c>
    </row>
    <row r="30" spans="3:11" s="70" customFormat="1" x14ac:dyDescent="0.25">
      <c r="C30" s="69"/>
      <c r="D30" s="70" t="s">
        <v>197</v>
      </c>
      <c r="E30" s="71">
        <f>+E29/E26</f>
        <v>-9.5616560972077408E-2</v>
      </c>
      <c r="F30" s="71">
        <f t="shared" ref="F30" si="20">+F29/F26</f>
        <v>-7.6567182281485194E-2</v>
      </c>
      <c r="G30" s="71">
        <f>+F30</f>
        <v>-7.6567182281485194E-2</v>
      </c>
      <c r="H30" s="71">
        <f t="shared" si="18"/>
        <v>-7.6567182281485194E-2</v>
      </c>
      <c r="I30" s="71">
        <f t="shared" si="18"/>
        <v>-7.6567182281485194E-2</v>
      </c>
      <c r="J30" s="71">
        <f t="shared" si="18"/>
        <v>-7.6567182281485194E-2</v>
      </c>
      <c r="K30" s="71">
        <f t="shared" si="18"/>
        <v>-7.6567182281485194E-2</v>
      </c>
    </row>
    <row r="31" spans="3:11" x14ac:dyDescent="0.25">
      <c r="D31" s="59" t="s">
        <v>190</v>
      </c>
      <c r="E31" s="60">
        <f>SUM(B_GT!E113,B_GT!E120)</f>
        <v>-3187440.665</v>
      </c>
      <c r="F31" s="60">
        <f>SUM(B_GT!F113,B_GT!F120)</f>
        <v>-2121862.59</v>
      </c>
      <c r="G31" s="60">
        <f>G26*G32</f>
        <v>-3034263.5036999998</v>
      </c>
      <c r="H31" s="60">
        <f t="shared" ref="H31:K31" si="21">H26*H32</f>
        <v>-3792829.3796249996</v>
      </c>
      <c r="I31" s="60">
        <f t="shared" si="21"/>
        <v>-4551395.255549999</v>
      </c>
      <c r="J31" s="60">
        <f t="shared" si="21"/>
        <v>-5234104.5438824985</v>
      </c>
      <c r="K31" s="60">
        <f t="shared" si="21"/>
        <v>-5757514.9982707482</v>
      </c>
    </row>
    <row r="32" spans="3:11" s="70" customFormat="1" x14ac:dyDescent="0.25">
      <c r="C32" s="69"/>
      <c r="D32" s="70" t="s">
        <v>198</v>
      </c>
      <c r="E32" s="71">
        <f>+E31/E26</f>
        <v>-2.6583490237618638E-2</v>
      </c>
      <c r="F32" s="71">
        <f>+F31/F26</f>
        <v>-7.9204045729281466E-3</v>
      </c>
      <c r="G32" s="71">
        <f>+F32</f>
        <v>-7.9204045729281466E-3</v>
      </c>
      <c r="H32" s="71">
        <f t="shared" si="18"/>
        <v>-7.9204045729281466E-3</v>
      </c>
      <c r="I32" s="71">
        <f t="shared" si="18"/>
        <v>-7.9204045729281466E-3</v>
      </c>
      <c r="J32" s="71">
        <f t="shared" si="18"/>
        <v>-7.9204045729281466E-3</v>
      </c>
      <c r="K32" s="71">
        <f t="shared" si="18"/>
        <v>-7.9204045729281466E-3</v>
      </c>
    </row>
    <row r="33" spans="3:12" x14ac:dyDescent="0.25">
      <c r="D33" s="59" t="s">
        <v>191</v>
      </c>
      <c r="E33" s="60">
        <f>+B_GT!E116</f>
        <v>-3680936.9199999995</v>
      </c>
      <c r="F33" s="60">
        <f>+B_GT!F116</f>
        <v>-4584742.9550000001</v>
      </c>
      <c r="G33" s="60">
        <f>AVERAGE(F16:G16)*G34</f>
        <v>-4036354.776500979</v>
      </c>
      <c r="H33" s="60">
        <f>AVERAGE(G16:H16)*H34</f>
        <v>-4036354.776500979</v>
      </c>
      <c r="I33" s="60">
        <f t="shared" ref="I33:K33" si="22">AVERAGE(H16:I16)*I34</f>
        <v>-4036354.776500979</v>
      </c>
      <c r="J33" s="60">
        <f t="shared" si="22"/>
        <v>-4036354.776500979</v>
      </c>
      <c r="K33" s="60">
        <f t="shared" si="22"/>
        <v>-4036354.776500979</v>
      </c>
    </row>
    <row r="34" spans="3:12" s="70" customFormat="1" x14ac:dyDescent="0.25">
      <c r="C34" s="69"/>
      <c r="D34" s="70" t="s">
        <v>199</v>
      </c>
      <c r="E34" s="71"/>
      <c r="F34" s="71">
        <f>+F33/AVERAGE(E16:F16)</f>
        <v>-0.38466086257496629</v>
      </c>
      <c r="G34" s="71">
        <f>+F34</f>
        <v>-0.38466086257496629</v>
      </c>
      <c r="H34" s="71">
        <f t="shared" ref="H34:K34" si="23">+G34</f>
        <v>-0.38466086257496629</v>
      </c>
      <c r="I34" s="71">
        <f t="shared" si="23"/>
        <v>-0.38466086257496629</v>
      </c>
      <c r="J34" s="71">
        <f t="shared" si="23"/>
        <v>-0.38466086257496629</v>
      </c>
      <c r="K34" s="71">
        <f t="shared" si="23"/>
        <v>-0.38466086257496629</v>
      </c>
    </row>
    <row r="35" spans="3:12" x14ac:dyDescent="0.25">
      <c r="D35" s="59" t="s">
        <v>205</v>
      </c>
      <c r="E35" s="60"/>
      <c r="F35" s="60"/>
      <c r="G35" s="60">
        <f ca="1">AVERAGE(F4:G4)*0.3</f>
        <v>2898005.9312381209</v>
      </c>
      <c r="H35" s="60">
        <f t="shared" ref="H35:K35" ca="1" si="24">AVERAGE(G4:H4)*0.3</f>
        <v>7703581.9561832268</v>
      </c>
      <c r="I35" s="60">
        <f t="shared" ca="1" si="24"/>
        <v>14547364.460478164</v>
      </c>
      <c r="J35" s="60">
        <f t="shared" ca="1" si="24"/>
        <v>25035572.855559733</v>
      </c>
      <c r="K35" s="60">
        <f t="shared" ca="1" si="24"/>
        <v>40244840.999751881</v>
      </c>
      <c r="L35" s="60"/>
    </row>
    <row r="36" spans="3:12" x14ac:dyDescent="0.25">
      <c r="D36" s="59" t="s">
        <v>194</v>
      </c>
      <c r="E36" s="60">
        <f>+E26+E27+E29+E31+E33+E35</f>
        <v>-5518383.3300001938</v>
      </c>
      <c r="F36" s="60">
        <f t="shared" ref="F36:K36" si="25">+F26+F27+F29+F31+F33+F35</f>
        <v>-2166703.7099999543</v>
      </c>
      <c r="G36" s="60">
        <f t="shared" ca="1" si="25"/>
        <v>2319447.2750872304</v>
      </c>
      <c r="H36" s="60">
        <f t="shared" ca="1" si="25"/>
        <v>7989472.3301198408</v>
      </c>
      <c r="I36" s="60">
        <f t="shared" ca="1" si="25"/>
        <v>15697703.864502292</v>
      </c>
      <c r="J36" s="60">
        <f t="shared" ca="1" si="25"/>
        <v>26963916.386662617</v>
      </c>
      <c r="K36" s="60">
        <f t="shared" ca="1" si="25"/>
        <v>42769654.361615114</v>
      </c>
    </row>
    <row r="37" spans="3:12" x14ac:dyDescent="0.25">
      <c r="D37" s="59" t="s">
        <v>192</v>
      </c>
      <c r="E37" s="60">
        <v>0</v>
      </c>
      <c r="F37" s="60" cm="1">
        <f t="array" ref="F37">_xlfn.IFS(E37&gt;0,F36*0.25,SUM($E$36:F36)&gt;0,SUM($E$36:F36)*0.25,TRUE,0)</f>
        <v>0</v>
      </c>
      <c r="G37" s="60" cm="1">
        <f t="array" aca="1" ref="G37" ca="1">_xlfn.IFS(F37&gt;0,G36*0.25,SUM($E$36:G36)&gt;0,SUM($E$36:G36)*0.25,TRUE,0)</f>
        <v>0</v>
      </c>
      <c r="H37" s="60" cm="1">
        <f t="array" aca="1" ref="H37" ca="1">_xlfn.IFS(G37&gt;0,H36*0.25,SUM($E$36:H36)&gt;0,SUM($E$36:H36)*0.25,TRUE,0)</f>
        <v>655958.14130173065</v>
      </c>
      <c r="I37" s="60" cm="1">
        <f t="array" aca="1" ref="I37" ca="1">_xlfn.IFS(H37&gt;0,I36*0.25,SUM(E36:I36)&gt;0,SUM(E36:I36)*0.25,TRUE,0)</f>
        <v>3924425.966125573</v>
      </c>
      <c r="J37" s="60" cm="1">
        <f t="array" aca="1" ref="J37" ca="1">_xlfn.IFS(I37&gt;0,J36*0.25,SUM(F36:J36)&gt;0,SUM(F36:J36)*0.25,TRUE,0)</f>
        <v>6740979.0966656543</v>
      </c>
      <c r="K37" s="60" cm="1">
        <f t="array" aca="1" ref="K37" ca="1">_xlfn.IFS(J37&gt;0,K36*0.25,SUM(G36:K36)&gt;0,SUM(G36:K36)*0.25,TRUE,0)</f>
        <v>10692413.590403778</v>
      </c>
    </row>
    <row r="38" spans="3:12" x14ac:dyDescent="0.25">
      <c r="D38" s="59" t="s">
        <v>193</v>
      </c>
      <c r="E38" s="60">
        <f>+E36+E37</f>
        <v>-5518383.3300001938</v>
      </c>
      <c r="F38" s="60">
        <f>+F36+F37</f>
        <v>-2166703.7099999543</v>
      </c>
      <c r="G38" s="60">
        <f t="shared" ref="G38:K38" ca="1" si="26">+G36+G37</f>
        <v>2319447.2750872304</v>
      </c>
      <c r="H38" s="60">
        <f t="shared" ca="1" si="26"/>
        <v>8645430.4714215714</v>
      </c>
      <c r="I38" s="60">
        <f t="shared" ca="1" si="26"/>
        <v>19622129.830627866</v>
      </c>
      <c r="J38" s="60">
        <f t="shared" ca="1" si="26"/>
        <v>33704895.483328268</v>
      </c>
      <c r="K38" s="60">
        <f t="shared" ca="1" si="26"/>
        <v>53462067.952018894</v>
      </c>
    </row>
    <row r="39" spans="3:12" x14ac:dyDescent="0.25">
      <c r="E39" s="60"/>
      <c r="F39" s="60"/>
      <c r="G39" s="60"/>
      <c r="H39" s="60"/>
      <c r="I39" s="60"/>
      <c r="J39" s="60"/>
      <c r="K39" s="60"/>
    </row>
    <row r="40" spans="3:12" x14ac:dyDescent="0.25">
      <c r="E40" s="60"/>
      <c r="F40" s="60"/>
      <c r="G40" s="72"/>
      <c r="H40" s="72"/>
      <c r="I40" s="72"/>
      <c r="J40" s="72"/>
      <c r="K40" s="72"/>
    </row>
    <row r="41" spans="3:12" x14ac:dyDescent="0.25">
      <c r="E41" s="60"/>
      <c r="F41" s="60"/>
      <c r="G41" s="60"/>
      <c r="H41" s="60"/>
      <c r="I41" s="60"/>
      <c r="J41" s="60"/>
      <c r="K41" s="60"/>
    </row>
    <row r="42" spans="3:12" x14ac:dyDescent="0.25">
      <c r="E42" s="60"/>
      <c r="F42" s="60"/>
      <c r="G42" s="60"/>
      <c r="H42" s="60"/>
      <c r="I42" s="60"/>
      <c r="J42" s="60"/>
      <c r="K42" s="60"/>
    </row>
    <row r="43" spans="3:12" x14ac:dyDescent="0.25">
      <c r="E43" s="60"/>
      <c r="F43" s="60"/>
      <c r="G43" s="60"/>
      <c r="H43" s="60"/>
      <c r="I43" s="60"/>
      <c r="J43" s="60"/>
      <c r="K43" s="60"/>
    </row>
    <row r="44" spans="3:12" x14ac:dyDescent="0.25">
      <c r="E44" s="60"/>
      <c r="F44" s="60"/>
      <c r="G44" s="60"/>
      <c r="H44" s="60"/>
      <c r="I44" s="60"/>
      <c r="J44" s="60"/>
      <c r="K44" s="60"/>
    </row>
    <row r="45" spans="3:12" x14ac:dyDescent="0.25">
      <c r="E45" s="60"/>
      <c r="F45" s="60"/>
      <c r="G45" s="60"/>
      <c r="H45" s="60"/>
      <c r="I45" s="60"/>
      <c r="J45" s="60"/>
      <c r="K45" s="60"/>
    </row>
    <row r="46" spans="3:12" x14ac:dyDescent="0.25">
      <c r="E46" s="60"/>
      <c r="F46" s="60"/>
      <c r="G46" s="60"/>
      <c r="H46" s="60"/>
      <c r="I46" s="60"/>
      <c r="J46" s="60"/>
      <c r="K46" s="60"/>
    </row>
    <row r="47" spans="3:12" x14ac:dyDescent="0.25">
      <c r="E47" s="60"/>
      <c r="F47" s="60"/>
      <c r="G47" s="60"/>
      <c r="H47" s="60"/>
      <c r="I47" s="60"/>
      <c r="J47" s="60"/>
      <c r="K47" s="60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B0A47-D9B8-4117-ACBE-B7071793A646}">
  <dimension ref="B2:L47"/>
  <sheetViews>
    <sheetView zoomScale="115" zoomScaleNormal="115" workbookViewId="0"/>
  </sheetViews>
  <sheetFormatPr defaultRowHeight="18.75" x14ac:dyDescent="0.25"/>
  <cols>
    <col min="1" max="2" width="9.140625" style="59"/>
    <col min="4" max="4" width="47.85546875" style="59" bestFit="1" customWidth="1"/>
    <col min="5" max="5" width="17.140625" style="59" bestFit="1" customWidth="1"/>
    <col min="6" max="11" width="19.28515625" style="59" customWidth="1"/>
    <col min="12" max="16384" width="9.140625" style="59"/>
  </cols>
  <sheetData>
    <row r="2" spans="2:11" x14ac:dyDescent="0.25">
      <c r="D2" s="57" t="s">
        <v>1</v>
      </c>
      <c r="E2" s="58" t="s">
        <v>147</v>
      </c>
      <c r="F2" s="58" t="s">
        <v>148</v>
      </c>
      <c r="G2" s="58" t="s">
        <v>200</v>
      </c>
      <c r="H2" s="58" t="s">
        <v>201</v>
      </c>
      <c r="I2" s="58" t="s">
        <v>202</v>
      </c>
      <c r="J2" s="58" t="s">
        <v>203</v>
      </c>
      <c r="K2" s="58" t="s">
        <v>204</v>
      </c>
    </row>
    <row r="3" spans="2:11" x14ac:dyDescent="0.25">
      <c r="D3" s="57" t="s">
        <v>175</v>
      </c>
      <c r="E3" s="65">
        <f>SUM(E4:E7,E10:E12)</f>
        <v>58425622.544999719</v>
      </c>
      <c r="F3" s="65">
        <f>SUM(F4:F7,F10:F12)</f>
        <v>103030241.60499986</v>
      </c>
      <c r="G3" s="65">
        <f t="shared" ref="G3:K3" ca="1" si="0">SUM(G4:G7,G10:G12)</f>
        <v>137668039.04316428</v>
      </c>
      <c r="H3" s="65">
        <f t="shared" ca="1" si="0"/>
        <v>181439711.81779468</v>
      </c>
      <c r="I3" s="65">
        <f t="shared" ca="1" si="0"/>
        <v>236843616.49156952</v>
      </c>
      <c r="J3" s="65">
        <f t="shared" ca="1" si="0"/>
        <v>304113409.70839381</v>
      </c>
      <c r="K3" s="65">
        <f t="shared" ca="1" si="0"/>
        <v>385770573.51993012</v>
      </c>
    </row>
    <row r="4" spans="2:11" x14ac:dyDescent="0.25">
      <c r="D4" s="59" t="s">
        <v>173</v>
      </c>
      <c r="E4" s="60">
        <f>+B_GT!E7+B_GT!E9</f>
        <v>124879.51999999891</v>
      </c>
      <c r="F4" s="60">
        <f>+B_GT!F7+B_GT!F9</f>
        <v>2303562.3550000042</v>
      </c>
      <c r="G4" s="60">
        <f ca="1">G15-SUM(G5:G7,G10:G12)</f>
        <v>7045766.2727645189</v>
      </c>
      <c r="H4" s="60">
        <f ca="1">H15-SUM(H5:H7,H10:H12)</f>
        <v>26138725.944794953</v>
      </c>
      <c r="I4" s="60">
        <f t="shared" ref="I4:K4" ca="1" si="1">I15-SUM(I5:I7,I10:I12)</f>
        <v>56863917.515969902</v>
      </c>
      <c r="J4" s="60">
        <f t="shared" ca="1" si="1"/>
        <v>102027459.35345423</v>
      </c>
      <c r="K4" s="60">
        <f t="shared" ca="1" si="1"/>
        <v>166980541.40449658</v>
      </c>
    </row>
    <row r="5" spans="2:11" x14ac:dyDescent="0.25">
      <c r="D5" s="59" t="s">
        <v>149</v>
      </c>
      <c r="E5" s="60">
        <f>SUM(B_GT!E12:E13,B_GT!E8,B_GT!E10)-B_GT!E69-B_GT!E73</f>
        <v>28536128.88500008</v>
      </c>
      <c r="F5" s="60">
        <f>SUM(B_GT!F12:F13,B_GT!F8,B_GT!F10)-B_GT!F69-B_GT!F73</f>
        <v>40314011.114999823</v>
      </c>
      <c r="G5" s="60">
        <f>+$F$5/$F$26*G26</f>
        <v>57649035.894449748</v>
      </c>
      <c r="H5" s="60">
        <f t="shared" ref="H5:K5" si="2">+$F$5/$F$26*H26</f>
        <v>72061294.868062183</v>
      </c>
      <c r="I5" s="60">
        <f t="shared" si="2"/>
        <v>86473553.841674611</v>
      </c>
      <c r="J5" s="60">
        <f t="shared" si="2"/>
        <v>99444586.91792579</v>
      </c>
      <c r="K5" s="60">
        <f t="shared" si="2"/>
        <v>109389045.60971838</v>
      </c>
    </row>
    <row r="6" spans="2:11" x14ac:dyDescent="0.25">
      <c r="D6" s="59" t="s">
        <v>150</v>
      </c>
      <c r="E6" s="60">
        <f>SUM(B_GT!E20:E24)</f>
        <v>11916044.329999994</v>
      </c>
      <c r="F6" s="60">
        <f>SUM(B_GT!F20:F24)</f>
        <v>29050149.395000003</v>
      </c>
      <c r="G6" s="60">
        <f>+$F$6/$F$27*G27</f>
        <v>41541713.634850003</v>
      </c>
      <c r="H6" s="60">
        <f t="shared" ref="H6:K6" si="3">+$F$6/$F$27*H27</f>
        <v>51927142.043562502</v>
      </c>
      <c r="I6" s="60">
        <f t="shared" si="3"/>
        <v>62312570.452275001</v>
      </c>
      <c r="J6" s="60">
        <f t="shared" si="3"/>
        <v>71659456.02011624</v>
      </c>
      <c r="K6" s="60">
        <f t="shared" si="3"/>
        <v>78825401.622127876</v>
      </c>
    </row>
    <row r="7" spans="2:11" x14ac:dyDescent="0.25">
      <c r="D7" s="59" t="s">
        <v>174</v>
      </c>
      <c r="E7" s="60">
        <f>SUM(B_GT!E37,B_GT!E44)</f>
        <v>12323662.055</v>
      </c>
      <c r="F7" s="60">
        <f>SUM(B_GT!F37,B_GT!F44)</f>
        <v>14861475.180000003</v>
      </c>
      <c r="G7" s="60">
        <f>SUM(G8:G9)</f>
        <v>13815571.050000003</v>
      </c>
      <c r="H7" s="60">
        <f t="shared" ref="H7:K7" si="4">SUM(H8:H9)</f>
        <v>12769666.920000002</v>
      </c>
      <c r="I7" s="60">
        <f t="shared" si="4"/>
        <v>11723762.790000001</v>
      </c>
      <c r="J7" s="60">
        <f t="shared" si="4"/>
        <v>10677858.66</v>
      </c>
      <c r="K7" s="60">
        <f t="shared" si="4"/>
        <v>9631954.5299999993</v>
      </c>
    </row>
    <row r="8" spans="2:11" x14ac:dyDescent="0.25">
      <c r="D8" s="62" t="s">
        <v>182</v>
      </c>
      <c r="E8" s="63">
        <f>+E7-E9</f>
        <v>19149268.82</v>
      </c>
      <c r="F8" s="63">
        <f>+F7-F9</f>
        <v>22732986.075000003</v>
      </c>
      <c r="G8" s="63">
        <f>+F8</f>
        <v>22732986.075000003</v>
      </c>
      <c r="H8" s="63">
        <f t="shared" ref="H8:K8" si="5">+G8</f>
        <v>22732986.075000003</v>
      </c>
      <c r="I8" s="63">
        <f t="shared" si="5"/>
        <v>22732986.075000003</v>
      </c>
      <c r="J8" s="63">
        <f t="shared" si="5"/>
        <v>22732986.075000003</v>
      </c>
      <c r="K8" s="63">
        <f t="shared" si="5"/>
        <v>22732986.075000003</v>
      </c>
    </row>
    <row r="9" spans="2:11" x14ac:dyDescent="0.25">
      <c r="D9" s="62" t="s">
        <v>183</v>
      </c>
      <c r="E9" s="63">
        <f>SUM(B_GT!E43,B_GT!E47)</f>
        <v>-6825606.7649999987</v>
      </c>
      <c r="F9" s="63">
        <f>SUM(B_GT!F43,B_GT!F47)</f>
        <v>-7871510.8949999996</v>
      </c>
      <c r="G9" s="63">
        <f>+F9-E9+F9</f>
        <v>-8917415.0250000004</v>
      </c>
      <c r="H9" s="63">
        <f t="shared" ref="H9:K9" si="6">+G9-F9+G9</f>
        <v>-9963319.1550000012</v>
      </c>
      <c r="I9" s="63">
        <f t="shared" si="6"/>
        <v>-11009223.285000002</v>
      </c>
      <c r="J9" s="63">
        <f t="shared" si="6"/>
        <v>-12055127.415000003</v>
      </c>
      <c r="K9" s="63">
        <f t="shared" si="6"/>
        <v>-13101031.545000004</v>
      </c>
    </row>
    <row r="10" spans="2:11" x14ac:dyDescent="0.25">
      <c r="D10" s="59" t="s">
        <v>178</v>
      </c>
      <c r="E10" s="60">
        <f>SUM(B_GT!E29:E31)-B_GT!E75</f>
        <v>178434.91500000001</v>
      </c>
      <c r="F10" s="60">
        <f>SUM(B_GT!F29:F31)-B_GT!F75</f>
        <v>2592810.7700000037</v>
      </c>
      <c r="G10" s="60">
        <f>+$F$10/$F$26*G26</f>
        <v>3707719.401100005</v>
      </c>
      <c r="H10" s="60">
        <f t="shared" ref="H10:K10" si="7">+$F$10/$F$26*H26</f>
        <v>4634649.2513750065</v>
      </c>
      <c r="I10" s="60">
        <f t="shared" si="7"/>
        <v>5561579.1016500071</v>
      </c>
      <c r="J10" s="60">
        <f t="shared" si="7"/>
        <v>6395815.9668975072</v>
      </c>
      <c r="K10" s="60">
        <f t="shared" si="7"/>
        <v>7035397.5635872586</v>
      </c>
    </row>
    <row r="11" spans="2:11" x14ac:dyDescent="0.25">
      <c r="D11" s="59" t="s">
        <v>179</v>
      </c>
      <c r="E11" s="60">
        <f>B_GT!E18-B_GT!E65</f>
        <v>2298129.87</v>
      </c>
      <c r="F11" s="60">
        <f>B_GT!F18-B_GT!F65</f>
        <v>11637735.235000001</v>
      </c>
      <c r="G11" s="60">
        <f>+F11</f>
        <v>11637735.235000001</v>
      </c>
      <c r="H11" s="60">
        <f t="shared" ref="H11:K12" si="8">+G11</f>
        <v>11637735.235000001</v>
      </c>
      <c r="I11" s="60">
        <f t="shared" si="8"/>
        <v>11637735.235000001</v>
      </c>
      <c r="J11" s="60">
        <f t="shared" si="8"/>
        <v>11637735.235000001</v>
      </c>
      <c r="K11" s="60">
        <f t="shared" si="8"/>
        <v>11637735.235000001</v>
      </c>
    </row>
    <row r="12" spans="2:11" x14ac:dyDescent="0.25">
      <c r="D12" s="59" t="s">
        <v>181</v>
      </c>
      <c r="E12" s="60">
        <f>SUM(B_GT!E14:E16,B_GT!E32:E33,B_GT!E36)</f>
        <v>3048342.9699996505</v>
      </c>
      <c r="F12" s="60">
        <f>SUM(B_GT!F14:F16,B_GT!F32:F33,B_GT!F36)</f>
        <v>2270497.5550000011</v>
      </c>
      <c r="G12" s="60">
        <f>+F12</f>
        <v>2270497.5550000011</v>
      </c>
      <c r="H12" s="60">
        <f t="shared" si="8"/>
        <v>2270497.5550000011</v>
      </c>
      <c r="I12" s="60">
        <f t="shared" si="8"/>
        <v>2270497.5550000011</v>
      </c>
      <c r="J12" s="60">
        <f t="shared" si="8"/>
        <v>2270497.5550000011</v>
      </c>
      <c r="K12" s="60">
        <f t="shared" si="8"/>
        <v>2270497.5550000011</v>
      </c>
    </row>
    <row r="13" spans="2:11" x14ac:dyDescent="0.25">
      <c r="E13" s="60"/>
      <c r="F13" s="60"/>
      <c r="G13" s="60"/>
      <c r="H13" s="60"/>
      <c r="I13" s="60"/>
      <c r="J13" s="60"/>
      <c r="K13" s="60"/>
    </row>
    <row r="14" spans="2:11" x14ac:dyDescent="0.25">
      <c r="D14" s="57" t="s">
        <v>1</v>
      </c>
      <c r="E14" s="58" t="s">
        <v>147</v>
      </c>
      <c r="F14" s="58" t="s">
        <v>148</v>
      </c>
      <c r="G14" s="58" t="s">
        <v>200</v>
      </c>
      <c r="H14" s="58" t="s">
        <v>201</v>
      </c>
      <c r="I14" s="58" t="s">
        <v>202</v>
      </c>
      <c r="J14" s="58" t="s">
        <v>203</v>
      </c>
      <c r="K14" s="58" t="s">
        <v>204</v>
      </c>
    </row>
    <row r="15" spans="2:11" s="64" customFormat="1" x14ac:dyDescent="0.25">
      <c r="B15" s="59"/>
      <c r="C15"/>
      <c r="D15" s="64" t="s">
        <v>176</v>
      </c>
      <c r="E15" s="65">
        <f>SUM(E16:E19)</f>
        <v>58425622.544999793</v>
      </c>
      <c r="F15" s="65">
        <f>SUM(F16:F19)</f>
        <v>103030241.60500002</v>
      </c>
      <c r="G15" s="65">
        <f ca="1">SUM(G16:G19)</f>
        <v>137668039.04316428</v>
      </c>
      <c r="H15" s="65">
        <f t="shared" ref="H15:K15" ca="1" si="9">SUM(H16:H19)</f>
        <v>181439711.81779468</v>
      </c>
      <c r="I15" s="65">
        <f t="shared" ca="1" si="9"/>
        <v>236843616.49156952</v>
      </c>
      <c r="J15" s="65">
        <f t="shared" ca="1" si="9"/>
        <v>304113409.70839381</v>
      </c>
      <c r="K15" s="65">
        <f t="shared" ca="1" si="9"/>
        <v>385770573.51993012</v>
      </c>
    </row>
    <row r="16" spans="2:11" x14ac:dyDescent="0.25">
      <c r="D16" s="59" t="s">
        <v>177</v>
      </c>
      <c r="E16" s="60">
        <f>+B_GT!E56+B_GT!E57+B_GT!E78+B_GT!E79+B_GT!E80</f>
        <v>13344563.049999997</v>
      </c>
      <c r="F16" s="60">
        <f>+B_GT!F56+B_GT!F57+B_GT!F78+B_GT!F79+B_GT!F80</f>
        <v>10493281.665000001</v>
      </c>
      <c r="G16" s="74">
        <v>0</v>
      </c>
      <c r="H16" s="60">
        <f>+G16</f>
        <v>0</v>
      </c>
      <c r="I16" s="60">
        <f>+H16</f>
        <v>0</v>
      </c>
      <c r="J16" s="60">
        <f>+I16</f>
        <v>0</v>
      </c>
      <c r="K16" s="60">
        <f>+J16</f>
        <v>0</v>
      </c>
    </row>
    <row r="17" spans="3:11" x14ac:dyDescent="0.25">
      <c r="D17" s="59" t="s">
        <v>151</v>
      </c>
      <c r="E17" s="60">
        <f>SUM(B_GT!E60:E61,B_GT!E63,B_GT!E58)-B_GT!E26-B_GT!E27-B_GT!E49</f>
        <v>42039917.814999998</v>
      </c>
      <c r="F17" s="60">
        <f>SUM(B_GT!F60:F61,B_GT!F63,B_GT!F58)-B_GT!F26-B_GT!F27-B_GT!F49</f>
        <v>93307807.830000013</v>
      </c>
      <c r="G17" s="60">
        <f>+$F$17/SUM($F$27,$F$29)*SUM(G27,G29)</f>
        <v>133430165.19690001</v>
      </c>
      <c r="H17" s="60">
        <f t="shared" ref="H17:K17" si="10">+$F$17/SUM($F$27,$F$29)*SUM(H27,H29)</f>
        <v>166787706.49612498</v>
      </c>
      <c r="I17" s="60">
        <f t="shared" si="10"/>
        <v>200145247.79535002</v>
      </c>
      <c r="J17" s="60">
        <f t="shared" si="10"/>
        <v>230167034.96465248</v>
      </c>
      <c r="K17" s="60">
        <f t="shared" si="10"/>
        <v>253183738.46111774</v>
      </c>
    </row>
    <row r="18" spans="3:11" x14ac:dyDescent="0.25">
      <c r="D18" s="59" t="s">
        <v>84</v>
      </c>
      <c r="E18" s="60">
        <f>SUM(B_GT!E62,B_GT!E66:E67,B_GT!E71)</f>
        <v>5570164.2500000009</v>
      </c>
      <c r="F18" s="60">
        <f>SUM(B_GT!F62,B_GT!F66:F67,B_GT!F71)</f>
        <v>4027420.3449999951</v>
      </c>
      <c r="G18" s="60">
        <f>+F18</f>
        <v>4027420.3449999951</v>
      </c>
      <c r="H18" s="60">
        <f t="shared" ref="H18:K18" si="11">+G18</f>
        <v>4027420.3449999951</v>
      </c>
      <c r="I18" s="60">
        <f t="shared" si="11"/>
        <v>4027420.3449999951</v>
      </c>
      <c r="J18" s="60">
        <f t="shared" si="11"/>
        <v>4027420.3449999951</v>
      </c>
      <c r="K18" s="60">
        <f t="shared" si="11"/>
        <v>4027420.3449999951</v>
      </c>
    </row>
    <row r="19" spans="3:11" x14ac:dyDescent="0.25">
      <c r="D19" s="59" t="s">
        <v>180</v>
      </c>
      <c r="E19" s="60">
        <f>B_GT!E81</f>
        <v>-2529022.5700002043</v>
      </c>
      <c r="F19" s="60">
        <f>B_GT!F81</f>
        <v>-4798268.2350000031</v>
      </c>
      <c r="G19" s="60">
        <f ca="1">SUM(G20:G21)</f>
        <v>210453.50126427738</v>
      </c>
      <c r="H19" s="60">
        <f t="shared" ref="H19:K19" ca="1" si="12">SUM(H20:H21)</f>
        <v>10624584.976669703</v>
      </c>
      <c r="I19" s="60">
        <f t="shared" ca="1" si="12"/>
        <v>32670948.351219494</v>
      </c>
      <c r="J19" s="60">
        <f t="shared" ca="1" si="12"/>
        <v>69918954.39874135</v>
      </c>
      <c r="K19" s="60">
        <f t="shared" ca="1" si="12"/>
        <v>128559414.71381238</v>
      </c>
    </row>
    <row r="20" spans="3:11" x14ac:dyDescent="0.25">
      <c r="D20" s="62" t="s">
        <v>188</v>
      </c>
      <c r="E20" s="63">
        <f>B_GT!E90</f>
        <v>-5518383.330000204</v>
      </c>
      <c r="F20" s="63">
        <f>B_GT!F90</f>
        <v>-2166703.7100000032</v>
      </c>
      <c r="G20" s="63">
        <f ca="1">+G38</f>
        <v>2842018.0262642773</v>
      </c>
      <c r="H20" s="63">
        <f t="shared" ref="H20:K20" ca="1" si="13">+H38</f>
        <v>10414131.475405425</v>
      </c>
      <c r="I20" s="63">
        <f t="shared" ca="1" si="13"/>
        <v>22046363.374549791</v>
      </c>
      <c r="J20" s="63">
        <f t="shared" ca="1" si="13"/>
        <v>37248006.047521859</v>
      </c>
      <c r="K20" s="63">
        <f t="shared" ca="1" si="13"/>
        <v>58640460.315071039</v>
      </c>
    </row>
    <row r="21" spans="3:11" x14ac:dyDescent="0.25">
      <c r="D21" s="62" t="s">
        <v>189</v>
      </c>
      <c r="E21" s="63">
        <f>E19-E20</f>
        <v>2989360.76</v>
      </c>
      <c r="F21" s="63">
        <f>F19-F20</f>
        <v>-2631564.5249999999</v>
      </c>
      <c r="G21" s="63">
        <f>F21</f>
        <v>-2631564.5249999999</v>
      </c>
      <c r="H21" s="63">
        <f ca="1">+G19</f>
        <v>210453.50126427738</v>
      </c>
      <c r="I21" s="63">
        <f ca="1">+H19</f>
        <v>10624584.976669703</v>
      </c>
      <c r="J21" s="63">
        <f t="shared" ref="J21:K21" ca="1" si="14">+I19</f>
        <v>32670948.351219494</v>
      </c>
      <c r="K21" s="63">
        <f t="shared" ca="1" si="14"/>
        <v>69918954.39874135</v>
      </c>
    </row>
    <row r="22" spans="3:11" x14ac:dyDescent="0.25">
      <c r="D22" s="62"/>
      <c r="E22" s="63"/>
      <c r="F22" s="63"/>
      <c r="G22" s="63"/>
      <c r="H22" s="63"/>
      <c r="I22" s="63"/>
      <c r="J22" s="63"/>
      <c r="K22" s="63"/>
    </row>
    <row r="23" spans="3:11" x14ac:dyDescent="0.25">
      <c r="E23" s="63"/>
      <c r="F23" s="63"/>
      <c r="G23" s="63"/>
      <c r="H23" s="63"/>
      <c r="I23" s="63"/>
      <c r="J23" s="63"/>
      <c r="K23" s="63"/>
    </row>
    <row r="24" spans="3:11" s="66" customFormat="1" x14ac:dyDescent="0.25">
      <c r="C24" s="68"/>
      <c r="D24" s="66" t="s">
        <v>195</v>
      </c>
      <c r="E24" s="67"/>
      <c r="F24" s="67"/>
      <c r="G24" s="73">
        <v>0.43</v>
      </c>
      <c r="H24" s="73">
        <v>0.25</v>
      </c>
      <c r="I24" s="73">
        <v>0.2</v>
      </c>
      <c r="J24" s="73">
        <v>0.15</v>
      </c>
      <c r="K24" s="73">
        <v>0.1</v>
      </c>
    </row>
    <row r="25" spans="3:11" s="64" customFormat="1" x14ac:dyDescent="0.25">
      <c r="C25"/>
      <c r="D25" s="64" t="s">
        <v>184</v>
      </c>
      <c r="E25" s="58" t="s">
        <v>147</v>
      </c>
      <c r="F25" s="58" t="s">
        <v>148</v>
      </c>
      <c r="G25" s="58" t="s">
        <v>200</v>
      </c>
      <c r="H25" s="58" t="s">
        <v>201</v>
      </c>
      <c r="I25" s="58" t="s">
        <v>202</v>
      </c>
      <c r="J25" s="58" t="s">
        <v>203</v>
      </c>
      <c r="K25" s="58" t="s">
        <v>204</v>
      </c>
    </row>
    <row r="26" spans="3:11" x14ac:dyDescent="0.25">
      <c r="D26" s="59" t="s">
        <v>185</v>
      </c>
      <c r="E26" s="60">
        <f>SUM(B_GT!E103,B_GT!E112)</f>
        <v>119903016.3649998</v>
      </c>
      <c r="F26" s="60">
        <f>SUM(B_GT!F103,B_GT!F112)</f>
        <v>267898258.28500003</v>
      </c>
      <c r="G26" s="60">
        <f>F26*(1+G24)</f>
        <v>383094509.34755003</v>
      </c>
      <c r="H26" s="60">
        <f t="shared" ref="H26:K26" si="15">G26*(1+H24)</f>
        <v>478868136.68443751</v>
      </c>
      <c r="I26" s="60">
        <f t="shared" si="15"/>
        <v>574641764.02132499</v>
      </c>
      <c r="J26" s="60">
        <f t="shared" si="15"/>
        <v>660838028.62452364</v>
      </c>
      <c r="K26" s="60">
        <f t="shared" si="15"/>
        <v>726921831.48697603</v>
      </c>
    </row>
    <row r="27" spans="3:11" x14ac:dyDescent="0.25">
      <c r="D27" s="59" t="s">
        <v>186</v>
      </c>
      <c r="E27" s="60">
        <f>B_GT!E104</f>
        <v>-107088308.035</v>
      </c>
      <c r="F27" s="60">
        <f>B_GT!F104</f>
        <v>-242846141.67499998</v>
      </c>
      <c r="G27" s="60">
        <f>+G26*G28</f>
        <v>-347269982.59524995</v>
      </c>
      <c r="H27" s="60">
        <f t="shared" ref="H27:K27" si="16">+H26*H28</f>
        <v>-434087478.24406242</v>
      </c>
      <c r="I27" s="60">
        <f t="shared" si="16"/>
        <v>-520904973.8928749</v>
      </c>
      <c r="J27" s="60">
        <f t="shared" si="16"/>
        <v>-599040719.97680604</v>
      </c>
      <c r="K27" s="60">
        <f t="shared" si="16"/>
        <v>-658944791.97448671</v>
      </c>
    </row>
    <row r="28" spans="3:11" s="70" customFormat="1" x14ac:dyDescent="0.25">
      <c r="C28" s="69"/>
      <c r="D28" s="70" t="s">
        <v>196</v>
      </c>
      <c r="E28" s="71">
        <f>+E27/E26</f>
        <v>-0.89312438737162181</v>
      </c>
      <c r="F28" s="71">
        <f t="shared" ref="F28" si="17">+F27/F26</f>
        <v>-0.90648645209425482</v>
      </c>
      <c r="G28" s="71">
        <f>+F28</f>
        <v>-0.90648645209425482</v>
      </c>
      <c r="H28" s="71">
        <f t="shared" ref="H28:K32" si="18">+G28</f>
        <v>-0.90648645209425482</v>
      </c>
      <c r="I28" s="71">
        <f t="shared" si="18"/>
        <v>-0.90648645209425482</v>
      </c>
      <c r="J28" s="71">
        <f t="shared" si="18"/>
        <v>-0.90648645209425482</v>
      </c>
      <c r="K28" s="71">
        <f t="shared" si="18"/>
        <v>-0.90648645209425482</v>
      </c>
    </row>
    <row r="29" spans="3:11" x14ac:dyDescent="0.25">
      <c r="D29" s="59" t="s">
        <v>187</v>
      </c>
      <c r="E29" s="60">
        <f>B_GT!E107</f>
        <v>-11464714.074999999</v>
      </c>
      <c r="F29" s="60">
        <f>B_GT!F107</f>
        <v>-20512214.774999999</v>
      </c>
      <c r="G29" s="60">
        <f>G26*G30</f>
        <v>-29332467.128249995</v>
      </c>
      <c r="H29" s="60">
        <f t="shared" ref="H29:K29" si="19">H26*H30</f>
        <v>-36665583.910312496</v>
      </c>
      <c r="I29" s="60">
        <f t="shared" si="19"/>
        <v>-43998700.692374989</v>
      </c>
      <c r="J29" s="60">
        <f t="shared" si="19"/>
        <v>-50598505.796231233</v>
      </c>
      <c r="K29" s="60">
        <f t="shared" si="19"/>
        <v>-55658356.375854358</v>
      </c>
    </row>
    <row r="30" spans="3:11" s="70" customFormat="1" x14ac:dyDescent="0.25">
      <c r="C30" s="69"/>
      <c r="D30" s="70" t="s">
        <v>197</v>
      </c>
      <c r="E30" s="71">
        <f>+E29/E26</f>
        <v>-9.5616560972077408E-2</v>
      </c>
      <c r="F30" s="71">
        <f t="shared" ref="F30" si="20">+F29/F26</f>
        <v>-7.6567182281485194E-2</v>
      </c>
      <c r="G30" s="71">
        <f>+F30</f>
        <v>-7.6567182281485194E-2</v>
      </c>
      <c r="H30" s="71">
        <f t="shared" si="18"/>
        <v>-7.6567182281485194E-2</v>
      </c>
      <c r="I30" s="71">
        <f t="shared" si="18"/>
        <v>-7.6567182281485194E-2</v>
      </c>
      <c r="J30" s="71">
        <f t="shared" si="18"/>
        <v>-7.6567182281485194E-2</v>
      </c>
      <c r="K30" s="71">
        <f t="shared" si="18"/>
        <v>-7.6567182281485194E-2</v>
      </c>
    </row>
    <row r="31" spans="3:11" x14ac:dyDescent="0.25">
      <c r="D31" s="59" t="s">
        <v>190</v>
      </c>
      <c r="E31" s="60">
        <f>SUM(B_GT!E113,B_GT!E120)</f>
        <v>-3187440.665</v>
      </c>
      <c r="F31" s="60">
        <f>SUM(B_GT!F113,B_GT!F120)</f>
        <v>-2121862.59</v>
      </c>
      <c r="G31" s="60">
        <f>G26*G32</f>
        <v>-3034263.5036999998</v>
      </c>
      <c r="H31" s="60">
        <f t="shared" ref="H31:K31" si="21">H26*H32</f>
        <v>-3792829.3796249996</v>
      </c>
      <c r="I31" s="60">
        <f t="shared" si="21"/>
        <v>-4551395.255549999</v>
      </c>
      <c r="J31" s="60">
        <f t="shared" si="21"/>
        <v>-5234104.5438824985</v>
      </c>
      <c r="K31" s="60">
        <f t="shared" si="21"/>
        <v>-5757514.9982707482</v>
      </c>
    </row>
    <row r="32" spans="3:11" s="70" customFormat="1" x14ac:dyDescent="0.25">
      <c r="C32" s="69"/>
      <c r="D32" s="70" t="s">
        <v>198</v>
      </c>
      <c r="E32" s="71">
        <f>+E31/E26</f>
        <v>-2.6583490237618638E-2</v>
      </c>
      <c r="F32" s="71">
        <f>+F31/F26</f>
        <v>-7.9204045729281466E-3</v>
      </c>
      <c r="G32" s="71">
        <f>+F32</f>
        <v>-7.9204045729281466E-3</v>
      </c>
      <c r="H32" s="71">
        <f t="shared" si="18"/>
        <v>-7.9204045729281466E-3</v>
      </c>
      <c r="I32" s="71">
        <f t="shared" si="18"/>
        <v>-7.9204045729281466E-3</v>
      </c>
      <c r="J32" s="71">
        <f t="shared" si="18"/>
        <v>-7.9204045729281466E-3</v>
      </c>
      <c r="K32" s="71">
        <f t="shared" si="18"/>
        <v>-7.9204045729281466E-3</v>
      </c>
    </row>
    <row r="33" spans="3:12" x14ac:dyDescent="0.25">
      <c r="D33" s="59" t="s">
        <v>191</v>
      </c>
      <c r="E33" s="60">
        <f>+B_GT!E116</f>
        <v>-3680936.9199999995</v>
      </c>
      <c r="F33" s="60">
        <f>+B_GT!F116</f>
        <v>-4584742.9550000001</v>
      </c>
      <c r="G33" s="60">
        <f>AVERAGE(F16:G16)*G34</f>
        <v>-2018177.3882504895</v>
      </c>
      <c r="H33" s="60">
        <f>AVERAGE(G16:H16)*H34</f>
        <v>0</v>
      </c>
      <c r="I33" s="60">
        <f t="shared" ref="I33:K33" si="22">AVERAGE(H16:I16)*I34</f>
        <v>0</v>
      </c>
      <c r="J33" s="60">
        <f t="shared" si="22"/>
        <v>0</v>
      </c>
      <c r="K33" s="60">
        <f t="shared" si="22"/>
        <v>0</v>
      </c>
    </row>
    <row r="34" spans="3:12" s="70" customFormat="1" x14ac:dyDescent="0.25">
      <c r="C34" s="69"/>
      <c r="D34" s="70" t="s">
        <v>199</v>
      </c>
      <c r="E34" s="71"/>
      <c r="F34" s="71">
        <f>+F33/AVERAGE(E16:F16)</f>
        <v>-0.38466086257496629</v>
      </c>
      <c r="G34" s="71">
        <f>+F34</f>
        <v>-0.38466086257496629</v>
      </c>
      <c r="H34" s="71">
        <f t="shared" ref="H34:K34" si="23">+G34</f>
        <v>-0.38466086257496629</v>
      </c>
      <c r="I34" s="71">
        <f t="shared" si="23"/>
        <v>-0.38466086257496629</v>
      </c>
      <c r="J34" s="71">
        <f t="shared" si="23"/>
        <v>-0.38466086257496629</v>
      </c>
      <c r="K34" s="71">
        <f t="shared" si="23"/>
        <v>-0.38466086257496629</v>
      </c>
    </row>
    <row r="35" spans="3:12" x14ac:dyDescent="0.25">
      <c r="D35" s="59" t="s">
        <v>205</v>
      </c>
      <c r="E35" s="60"/>
      <c r="F35" s="60"/>
      <c r="G35" s="60">
        <f ca="1">AVERAGE(F4:G4)*0.3</f>
        <v>1402399.2941646783</v>
      </c>
      <c r="H35" s="60">
        <f t="shared" ref="H35:K35" ca="1" si="24">AVERAGE(G4:H4)*0.3</f>
        <v>4977673.8326339209</v>
      </c>
      <c r="I35" s="60">
        <f t="shared" ca="1" si="24"/>
        <v>12450396.519114727</v>
      </c>
      <c r="J35" s="60">
        <f t="shared" ca="1" si="24"/>
        <v>23833706.53041362</v>
      </c>
      <c r="K35" s="60">
        <f t="shared" ca="1" si="24"/>
        <v>40351200.113692619</v>
      </c>
      <c r="L35" s="60"/>
    </row>
    <row r="36" spans="3:12" x14ac:dyDescent="0.25">
      <c r="D36" s="59" t="s">
        <v>194</v>
      </c>
      <c r="E36" s="60">
        <f>+E26+E27+E29+E31+E33+E35</f>
        <v>-5518383.3300001938</v>
      </c>
      <c r="F36" s="60">
        <f t="shared" ref="F36:K36" si="25">+F26+F27+F29+F31+F33+F35</f>
        <v>-2166703.7099999543</v>
      </c>
      <c r="G36" s="60">
        <f t="shared" ca="1" si="25"/>
        <v>2842018.0262642773</v>
      </c>
      <c r="H36" s="60">
        <f t="shared" ca="1" si="25"/>
        <v>9299918.9830715135</v>
      </c>
      <c r="I36" s="60">
        <f t="shared" ca="1" si="25"/>
        <v>17637090.699639834</v>
      </c>
      <c r="J36" s="60">
        <f t="shared" ca="1" si="25"/>
        <v>29798404.838017486</v>
      </c>
      <c r="K36" s="60">
        <f t="shared" ca="1" si="25"/>
        <v>46912368.25205683</v>
      </c>
    </row>
    <row r="37" spans="3:12" x14ac:dyDescent="0.25">
      <c r="D37" s="59" t="s">
        <v>192</v>
      </c>
      <c r="E37" s="60">
        <v>0</v>
      </c>
      <c r="F37" s="60" cm="1">
        <f t="array" ref="F37">_xlfn.IFS(E37&gt;0,F36*0.25,SUM($E$36:F36)&gt;0,SUM($E$36:F36)*0.25,TRUE,0)</f>
        <v>0</v>
      </c>
      <c r="G37" s="60" cm="1">
        <f t="array" aca="1" ref="G37" ca="1">_xlfn.IFS(F37&gt;0,G36*0.25,SUM($E$36:G36)&gt;0,SUM($E$36:G36)*0.25,TRUE,0)</f>
        <v>0</v>
      </c>
      <c r="H37" s="60" cm="1">
        <f t="array" aca="1" ref="H37" ca="1">_xlfn.IFS(G37&gt;0,H36*0.25,SUM($E$36:H36)&gt;0,SUM($E$36:H36)*0.25,TRUE,0)</f>
        <v>1114212.4923339107</v>
      </c>
      <c r="I37" s="60" cm="1">
        <f t="array" aca="1" ref="I37" ca="1">_xlfn.IFS(H37&gt;0,I36*0.25,SUM(E36:I36)&gt;0,SUM(E36:I36)*0.25,TRUE,0)</f>
        <v>4409272.6749099586</v>
      </c>
      <c r="J37" s="60" cm="1">
        <f t="array" aca="1" ref="J37" ca="1">_xlfn.IFS(I37&gt;0,J36*0.25,SUM(F36:J36)&gt;0,SUM(F36:J36)*0.25,TRUE,0)</f>
        <v>7449601.2095043715</v>
      </c>
      <c r="K37" s="60" cm="1">
        <f t="array" aca="1" ref="K37" ca="1">_xlfn.IFS(J37&gt;0,K36*0.25,SUM(G36:K36)&gt;0,SUM(G36:K36)*0.25,TRUE,0)</f>
        <v>11728092.063014207</v>
      </c>
    </row>
    <row r="38" spans="3:12" x14ac:dyDescent="0.25">
      <c r="D38" s="59" t="s">
        <v>193</v>
      </c>
      <c r="E38" s="60">
        <f>+E36+E37</f>
        <v>-5518383.3300001938</v>
      </c>
      <c r="F38" s="60">
        <f>+F36+F37</f>
        <v>-2166703.7099999543</v>
      </c>
      <c r="G38" s="60">
        <f t="shared" ref="G38:K38" ca="1" si="26">+G36+G37</f>
        <v>2842018.0262642773</v>
      </c>
      <c r="H38" s="60">
        <f t="shared" ca="1" si="26"/>
        <v>10414131.475405425</v>
      </c>
      <c r="I38" s="60">
        <f t="shared" ca="1" si="26"/>
        <v>22046363.374549791</v>
      </c>
      <c r="J38" s="60">
        <f t="shared" ca="1" si="26"/>
        <v>37248006.047521859</v>
      </c>
      <c r="K38" s="60">
        <f t="shared" ca="1" si="26"/>
        <v>58640460.315071039</v>
      </c>
    </row>
    <row r="39" spans="3:12" x14ac:dyDescent="0.25">
      <c r="E39" s="60"/>
      <c r="F39" s="60"/>
      <c r="G39" s="60"/>
      <c r="H39" s="60"/>
      <c r="I39" s="60"/>
      <c r="J39" s="60"/>
      <c r="K39" s="60"/>
    </row>
    <row r="40" spans="3:12" x14ac:dyDescent="0.25">
      <c r="E40" s="60"/>
      <c r="F40" s="60"/>
      <c r="G40" s="72"/>
      <c r="H40" s="72"/>
      <c r="I40" s="72"/>
      <c r="J40" s="72"/>
      <c r="K40" s="72"/>
    </row>
    <row r="41" spans="3:12" x14ac:dyDescent="0.25">
      <c r="E41" s="60"/>
      <c r="F41" s="60"/>
      <c r="G41" s="60"/>
      <c r="H41" s="60"/>
      <c r="I41" s="60"/>
      <c r="J41" s="60"/>
      <c r="K41" s="60"/>
    </row>
    <row r="42" spans="3:12" x14ac:dyDescent="0.25">
      <c r="E42" s="60"/>
      <c r="F42" s="60"/>
      <c r="G42" s="60"/>
      <c r="H42" s="60"/>
      <c r="I42" s="60"/>
      <c r="J42" s="60"/>
      <c r="K42" s="60"/>
    </row>
    <row r="43" spans="3:12" x14ac:dyDescent="0.25">
      <c r="E43" s="60"/>
      <c r="F43" s="60"/>
      <c r="G43" s="60"/>
      <c r="H43" s="60"/>
      <c r="I43" s="60"/>
      <c r="J43" s="60"/>
      <c r="K43" s="60"/>
    </row>
    <row r="44" spans="3:12" x14ac:dyDescent="0.25">
      <c r="E44" s="60"/>
      <c r="F44" s="60"/>
      <c r="G44" s="60"/>
      <c r="H44" s="60"/>
      <c r="I44" s="60"/>
      <c r="J44" s="60"/>
      <c r="K44" s="60"/>
    </row>
    <row r="45" spans="3:12" x14ac:dyDescent="0.25">
      <c r="E45" s="60"/>
      <c r="F45" s="60"/>
      <c r="G45" s="60"/>
      <c r="H45" s="60"/>
      <c r="I45" s="60"/>
      <c r="J45" s="60"/>
      <c r="K45" s="60"/>
    </row>
    <row r="46" spans="3:12" x14ac:dyDescent="0.25">
      <c r="E46" s="60"/>
      <c r="F46" s="60"/>
      <c r="G46" s="60"/>
      <c r="H46" s="60"/>
      <c r="I46" s="60"/>
      <c r="J46" s="60"/>
      <c r="K46" s="60"/>
    </row>
    <row r="47" spans="3:12" x14ac:dyDescent="0.25">
      <c r="E47" s="60"/>
      <c r="F47" s="60"/>
      <c r="G47" s="60"/>
      <c r="H47" s="60"/>
      <c r="I47" s="60"/>
      <c r="J47" s="60"/>
      <c r="K47" s="60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7ECF2-6F52-4826-A70A-B5C16853F183}">
  <dimension ref="B2:L50"/>
  <sheetViews>
    <sheetView zoomScale="115" zoomScaleNormal="115" workbookViewId="0"/>
  </sheetViews>
  <sheetFormatPr defaultRowHeight="18.75" x14ac:dyDescent="0.25"/>
  <cols>
    <col min="1" max="2" width="9.140625" style="59"/>
    <col min="4" max="4" width="47.85546875" style="59" bestFit="1" customWidth="1"/>
    <col min="5" max="5" width="17.140625" style="59" bestFit="1" customWidth="1"/>
    <col min="6" max="11" width="19.28515625" style="59" customWidth="1"/>
    <col min="12" max="16384" width="9.140625" style="59"/>
  </cols>
  <sheetData>
    <row r="2" spans="2:11" x14ac:dyDescent="0.25">
      <c r="D2" s="57" t="s">
        <v>1</v>
      </c>
      <c r="E2" s="58" t="s">
        <v>147</v>
      </c>
      <c r="F2" s="58" t="s">
        <v>148</v>
      </c>
      <c r="G2" s="58" t="s">
        <v>200</v>
      </c>
      <c r="H2" s="58" t="s">
        <v>201</v>
      </c>
      <c r="I2" s="58" t="s">
        <v>202</v>
      </c>
      <c r="J2" s="58" t="s">
        <v>203</v>
      </c>
      <c r="K2" s="58" t="s">
        <v>204</v>
      </c>
    </row>
    <row r="3" spans="2:11" x14ac:dyDescent="0.25">
      <c r="D3" s="57" t="s">
        <v>175</v>
      </c>
      <c r="E3" s="65">
        <f>SUM(E4:E7,E10:E12)</f>
        <v>58425622.544999719</v>
      </c>
      <c r="F3" s="65">
        <f>SUM(F4:F7,F10:F12)</f>
        <v>103030241.60499986</v>
      </c>
      <c r="G3" s="65">
        <f t="shared" ref="G3:K3" ca="1" si="0">SUM(G4:G7,G10:G12)</f>
        <v>131785686.10198779</v>
      </c>
      <c r="H3" s="65">
        <f t="shared" ca="1" si="0"/>
        <v>155699807.84757489</v>
      </c>
      <c r="I3" s="65">
        <f t="shared" ca="1" si="0"/>
        <v>180402574.84015581</v>
      </c>
      <c r="J3" s="65">
        <f t="shared" ca="1" si="0"/>
        <v>203161118.06402063</v>
      </c>
      <c r="K3" s="65">
        <f t="shared" ca="1" si="0"/>
        <v>219763378.03969207</v>
      </c>
    </row>
    <row r="4" spans="2:11" x14ac:dyDescent="0.25">
      <c r="D4" s="59" t="s">
        <v>173</v>
      </c>
      <c r="E4" s="60">
        <f>+B_GT!E7+B_GT!E9</f>
        <v>124879.51999999891</v>
      </c>
      <c r="F4" s="60">
        <f>+B_GT!F7+B_GT!F9</f>
        <v>2303562.3550000042</v>
      </c>
      <c r="G4" s="60">
        <f ca="1">G15-SUM(G5:G7,G10:G12)</f>
        <v>1163413.3315880299</v>
      </c>
      <c r="H4" s="60">
        <f ca="1">H15-SUM(H5:H7,H10:H12)</f>
        <v>398821.97457516193</v>
      </c>
      <c r="I4" s="60">
        <f ca="1">I15-SUM(I5:I7,I10:I12)</f>
        <v>422875.86455619335</v>
      </c>
      <c r="J4" s="60">
        <f ca="1">J15-SUM(J5:J7,J10:J12)</f>
        <v>1075167.7090810537</v>
      </c>
      <c r="K4" s="60">
        <f ca="1">K15-SUM(K5:K7,K10:K12)</f>
        <v>973345.92425855994</v>
      </c>
    </row>
    <row r="5" spans="2:11" x14ac:dyDescent="0.25">
      <c r="D5" s="59" t="s">
        <v>149</v>
      </c>
      <c r="E5" s="60">
        <f>SUM(B_GT!E12:E13,B_GT!E8,B_GT!E10)-B_GT!E69-B_GT!E73</f>
        <v>28536128.88500008</v>
      </c>
      <c r="F5" s="60">
        <f>SUM(B_GT!F12:F13,B_GT!F8,B_GT!F10)-B_GT!F69-B_GT!F73</f>
        <v>40314011.114999823</v>
      </c>
      <c r="G5" s="60">
        <f>+$F$5/$F$26*G26</f>
        <v>57649035.894449748</v>
      </c>
      <c r="H5" s="60">
        <f t="shared" ref="H5:K5" si="1">+$F$5/$F$26*H26</f>
        <v>72061294.868062183</v>
      </c>
      <c r="I5" s="60">
        <f t="shared" si="1"/>
        <v>86473553.841674611</v>
      </c>
      <c r="J5" s="60">
        <f t="shared" si="1"/>
        <v>99444586.91792579</v>
      </c>
      <c r="K5" s="60">
        <f t="shared" si="1"/>
        <v>109389045.60971838</v>
      </c>
    </row>
    <row r="6" spans="2:11" x14ac:dyDescent="0.25">
      <c r="D6" s="59" t="s">
        <v>150</v>
      </c>
      <c r="E6" s="60">
        <f>SUM(B_GT!E20:E24)</f>
        <v>11916044.329999994</v>
      </c>
      <c r="F6" s="60">
        <f>SUM(B_GT!F20:F24)</f>
        <v>29050149.395000003</v>
      </c>
      <c r="G6" s="60">
        <f>+$F$6/$F$27*G27</f>
        <v>41541713.634850003</v>
      </c>
      <c r="H6" s="60">
        <f t="shared" ref="H6:K6" si="2">+$F$6/$F$27*H27</f>
        <v>51927142.043562502</v>
      </c>
      <c r="I6" s="60">
        <f t="shared" si="2"/>
        <v>62312570.452275001</v>
      </c>
      <c r="J6" s="60">
        <f t="shared" si="2"/>
        <v>71659456.02011624</v>
      </c>
      <c r="K6" s="60">
        <f t="shared" si="2"/>
        <v>78825401.622127876</v>
      </c>
    </row>
    <row r="7" spans="2:11" x14ac:dyDescent="0.25">
      <c r="D7" s="59" t="s">
        <v>174</v>
      </c>
      <c r="E7" s="60">
        <f>SUM(B_GT!E37,B_GT!E44)</f>
        <v>12323662.055</v>
      </c>
      <c r="F7" s="60">
        <f>SUM(B_GT!F37,B_GT!F44)</f>
        <v>14861475.180000003</v>
      </c>
      <c r="G7" s="60">
        <f>SUM(G8:G9)</f>
        <v>13815571.050000003</v>
      </c>
      <c r="H7" s="60">
        <f t="shared" ref="H7:K7" si="3">SUM(H8:H9)</f>
        <v>12769666.920000002</v>
      </c>
      <c r="I7" s="60">
        <f t="shared" si="3"/>
        <v>11723762.790000001</v>
      </c>
      <c r="J7" s="60">
        <f t="shared" si="3"/>
        <v>10677858.66</v>
      </c>
      <c r="K7" s="60">
        <f t="shared" si="3"/>
        <v>9631954.5299999993</v>
      </c>
    </row>
    <row r="8" spans="2:11" x14ac:dyDescent="0.25">
      <c r="D8" s="62" t="s">
        <v>182</v>
      </c>
      <c r="E8" s="63">
        <f>+E7-E9</f>
        <v>19149268.82</v>
      </c>
      <c r="F8" s="63">
        <f>+F7-F9</f>
        <v>22732986.075000003</v>
      </c>
      <c r="G8" s="63">
        <f>+F8</f>
        <v>22732986.075000003</v>
      </c>
      <c r="H8" s="63">
        <f t="shared" ref="H8:K8" si="4">+G8</f>
        <v>22732986.075000003</v>
      </c>
      <c r="I8" s="63">
        <f t="shared" si="4"/>
        <v>22732986.075000003</v>
      </c>
      <c r="J8" s="63">
        <f t="shared" si="4"/>
        <v>22732986.075000003</v>
      </c>
      <c r="K8" s="63">
        <f t="shared" si="4"/>
        <v>22732986.075000003</v>
      </c>
    </row>
    <row r="9" spans="2:11" x14ac:dyDescent="0.25">
      <c r="D9" s="62" t="s">
        <v>183</v>
      </c>
      <c r="E9" s="63">
        <f>SUM(B_GT!E43,B_GT!E47)</f>
        <v>-6825606.7649999987</v>
      </c>
      <c r="F9" s="63">
        <f>SUM(B_GT!F43,B_GT!F47)</f>
        <v>-7871510.8949999996</v>
      </c>
      <c r="G9" s="63">
        <f>+F9-E9+F9</f>
        <v>-8917415.0250000004</v>
      </c>
      <c r="H9" s="63">
        <f t="shared" ref="H9:K9" si="5">+G9-F9+G9</f>
        <v>-9963319.1550000012</v>
      </c>
      <c r="I9" s="63">
        <f t="shared" si="5"/>
        <v>-11009223.285000002</v>
      </c>
      <c r="J9" s="63">
        <f t="shared" si="5"/>
        <v>-12055127.415000003</v>
      </c>
      <c r="K9" s="63">
        <f t="shared" si="5"/>
        <v>-13101031.545000004</v>
      </c>
    </row>
    <row r="10" spans="2:11" x14ac:dyDescent="0.25">
      <c r="D10" s="59" t="s">
        <v>178</v>
      </c>
      <c r="E10" s="60">
        <f>SUM(B_GT!E29:E31)-B_GT!E75</f>
        <v>178434.91500000001</v>
      </c>
      <c r="F10" s="60">
        <f>SUM(B_GT!F29:F31)-B_GT!F75</f>
        <v>2592810.7700000037</v>
      </c>
      <c r="G10" s="60">
        <f>+$F$10/$F$26*G26</f>
        <v>3707719.401100005</v>
      </c>
      <c r="H10" s="60">
        <f t="shared" ref="H10:K10" si="6">+$F$10/$F$26*H26</f>
        <v>4634649.2513750065</v>
      </c>
      <c r="I10" s="60">
        <f t="shared" si="6"/>
        <v>5561579.1016500071</v>
      </c>
      <c r="J10" s="60">
        <f t="shared" si="6"/>
        <v>6395815.9668975072</v>
      </c>
      <c r="K10" s="60">
        <f t="shared" si="6"/>
        <v>7035397.5635872586</v>
      </c>
    </row>
    <row r="11" spans="2:11" x14ac:dyDescent="0.25">
      <c r="D11" s="59" t="s">
        <v>179</v>
      </c>
      <c r="E11" s="60">
        <f>B_GT!E18-B_GT!E65</f>
        <v>2298129.87</v>
      </c>
      <c r="F11" s="60">
        <f>B_GT!F18-B_GT!F65</f>
        <v>11637735.235000001</v>
      </c>
      <c r="G11" s="60">
        <f>+F11</f>
        <v>11637735.235000001</v>
      </c>
      <c r="H11" s="60">
        <f t="shared" ref="H11:K12" si="7">+G11</f>
        <v>11637735.235000001</v>
      </c>
      <c r="I11" s="60">
        <f t="shared" si="7"/>
        <v>11637735.235000001</v>
      </c>
      <c r="J11" s="60">
        <f t="shared" si="7"/>
        <v>11637735.235000001</v>
      </c>
      <c r="K11" s="60">
        <f t="shared" si="7"/>
        <v>11637735.235000001</v>
      </c>
    </row>
    <row r="12" spans="2:11" x14ac:dyDescent="0.25">
      <c r="D12" s="59" t="s">
        <v>181</v>
      </c>
      <c r="E12" s="60">
        <f>SUM(B_GT!E14:E16,B_GT!E32:E33,B_GT!E36)</f>
        <v>3048342.9699996505</v>
      </c>
      <c r="F12" s="60">
        <f>SUM(B_GT!F14:F16,B_GT!F32:F33,B_GT!F36)</f>
        <v>2270497.5550000011</v>
      </c>
      <c r="G12" s="60">
        <f>+F12</f>
        <v>2270497.5550000011</v>
      </c>
      <c r="H12" s="60">
        <f t="shared" si="7"/>
        <v>2270497.5550000011</v>
      </c>
      <c r="I12" s="60">
        <f t="shared" si="7"/>
        <v>2270497.5550000011</v>
      </c>
      <c r="J12" s="60">
        <f t="shared" si="7"/>
        <v>2270497.5550000011</v>
      </c>
      <c r="K12" s="60">
        <f t="shared" si="7"/>
        <v>2270497.5550000011</v>
      </c>
    </row>
    <row r="13" spans="2:11" x14ac:dyDescent="0.25">
      <c r="E13" s="60"/>
      <c r="F13" s="60"/>
      <c r="G13" s="60"/>
      <c r="H13" s="60"/>
      <c r="I13" s="60"/>
      <c r="J13" s="60"/>
      <c r="K13" s="60"/>
    </row>
    <row r="14" spans="2:11" x14ac:dyDescent="0.25">
      <c r="D14" s="57" t="s">
        <v>1</v>
      </c>
      <c r="E14" s="58" t="s">
        <v>147</v>
      </c>
      <c r="F14" s="58" t="s">
        <v>148</v>
      </c>
      <c r="G14" s="58" t="s">
        <v>200</v>
      </c>
      <c r="H14" s="58" t="s">
        <v>201</v>
      </c>
      <c r="I14" s="58" t="s">
        <v>202</v>
      </c>
      <c r="J14" s="58" t="s">
        <v>203</v>
      </c>
      <c r="K14" s="58" t="s">
        <v>204</v>
      </c>
    </row>
    <row r="15" spans="2:11" s="64" customFormat="1" x14ac:dyDescent="0.25">
      <c r="B15" s="59"/>
      <c r="C15"/>
      <c r="D15" s="64" t="s">
        <v>176</v>
      </c>
      <c r="E15" s="65">
        <f>SUM(E16:E19)</f>
        <v>58425622.544999793</v>
      </c>
      <c r="F15" s="65">
        <f>SUM(F16:F19)</f>
        <v>103030241.605</v>
      </c>
      <c r="G15" s="65">
        <f ca="1">SUM(G16:G19)</f>
        <v>131785686.10198779</v>
      </c>
      <c r="H15" s="65">
        <f t="shared" ref="H15:K15" ca="1" si="8">SUM(H16:H19)</f>
        <v>155699807.84757489</v>
      </c>
      <c r="I15" s="65">
        <f t="shared" ca="1" si="8"/>
        <v>180402574.84015581</v>
      </c>
      <c r="J15" s="65">
        <f t="shared" ca="1" si="8"/>
        <v>203161118.06402063</v>
      </c>
      <c r="K15" s="65">
        <f t="shared" ca="1" si="8"/>
        <v>219763378.0396921</v>
      </c>
    </row>
    <row r="16" spans="2:11" x14ac:dyDescent="0.25">
      <c r="D16" s="59" t="s">
        <v>177</v>
      </c>
      <c r="E16" s="60">
        <f>+B_GT!E56+B_GT!E57+B_GT!E78+B_GT!E79+B_GT!E80</f>
        <v>13344563.049999997</v>
      </c>
      <c r="F16" s="60">
        <f>+B_GT!F56+B_GT!F57+B_GT!F78+B_GT!F79+B_GT!F80</f>
        <v>10493281.665000001</v>
      </c>
      <c r="G16" s="60">
        <v>0</v>
      </c>
      <c r="H16" s="60">
        <f>+G16</f>
        <v>0</v>
      </c>
      <c r="I16" s="60">
        <f>+H16</f>
        <v>0</v>
      </c>
      <c r="J16" s="60">
        <f>+I16</f>
        <v>0</v>
      </c>
      <c r="K16" s="60">
        <f>+J16</f>
        <v>0</v>
      </c>
    </row>
    <row r="17" spans="3:11" x14ac:dyDescent="0.25">
      <c r="D17" s="59" t="s">
        <v>151</v>
      </c>
      <c r="E17" s="60">
        <v>42039917.814999998</v>
      </c>
      <c r="F17" s="60">
        <v>93307807.829999998</v>
      </c>
      <c r="G17" s="74">
        <f>133430165.1969-5000000</f>
        <v>128430165.1969</v>
      </c>
      <c r="H17" s="74">
        <f>166787706.496125-19000000</f>
        <v>147787706.49612501</v>
      </c>
      <c r="I17" s="74">
        <f>200145247.79535-34000000</f>
        <v>166145247.79534999</v>
      </c>
      <c r="J17" s="74">
        <f>230167034.964653-49000000</f>
        <v>181167034.96465299</v>
      </c>
      <c r="K17" s="74">
        <f>253183738.461118-64000000</f>
        <v>189183738.46111801</v>
      </c>
    </row>
    <row r="18" spans="3:11" x14ac:dyDescent="0.25">
      <c r="D18" s="59" t="s">
        <v>84</v>
      </c>
      <c r="E18" s="60">
        <f>SUM(B_GT!E62,B_GT!E66:E67,B_GT!E71)</f>
        <v>5570164.2500000009</v>
      </c>
      <c r="F18" s="60">
        <f>SUM(B_GT!F62,B_GT!F66:F67,B_GT!F71)</f>
        <v>4027420.3449999951</v>
      </c>
      <c r="G18" s="60">
        <f>+F18</f>
        <v>4027420.3449999951</v>
      </c>
      <c r="H18" s="60">
        <f t="shared" ref="H18:K18" si="9">+G18</f>
        <v>4027420.3449999951</v>
      </c>
      <c r="I18" s="60">
        <f t="shared" si="9"/>
        <v>4027420.3449999951</v>
      </c>
      <c r="J18" s="60">
        <f t="shared" si="9"/>
        <v>4027420.3449999951</v>
      </c>
      <c r="K18" s="60">
        <f t="shared" si="9"/>
        <v>4027420.3449999951</v>
      </c>
    </row>
    <row r="19" spans="3:11" x14ac:dyDescent="0.25">
      <c r="D19" s="59" t="s">
        <v>180</v>
      </c>
      <c r="E19" s="60">
        <f>B_GT!E81</f>
        <v>-2529022.5700002043</v>
      </c>
      <c r="F19" s="60">
        <f>B_GT!F81</f>
        <v>-4798268.2350000031</v>
      </c>
      <c r="G19" s="60">
        <f ca="1">SUM(G20:G21)</f>
        <v>-671899.43991219578</v>
      </c>
      <c r="H19" s="60">
        <f t="shared" ref="H19:K19" ca="1" si="10">SUM(H20:H21)</f>
        <v>3884681.0064498768</v>
      </c>
      <c r="I19" s="60">
        <f t="shared" ca="1" si="10"/>
        <v>10229906.699805822</v>
      </c>
      <c r="J19" s="60">
        <f t="shared" ca="1" si="10"/>
        <v>17966662.754367635</v>
      </c>
      <c r="K19" s="60">
        <f t="shared" ca="1" si="10"/>
        <v>26552219.233574077</v>
      </c>
    </row>
    <row r="20" spans="3:11" x14ac:dyDescent="0.25">
      <c r="D20" s="62" t="s">
        <v>188</v>
      </c>
      <c r="E20" s="63">
        <f>B_GT!E90</f>
        <v>-5518383.330000204</v>
      </c>
      <c r="F20" s="63">
        <f>B_GT!F90</f>
        <v>-2166703.7100000032</v>
      </c>
      <c r="G20" s="63">
        <f ca="1">+G38</f>
        <v>1959665.0850878041</v>
      </c>
      <c r="H20" s="63">
        <f t="shared" ref="H20:K20" ca="1" si="11">+H38</f>
        <v>4556580.4463620726</v>
      </c>
      <c r="I20" s="63">
        <f t="shared" ca="1" si="11"/>
        <v>6345225.6933559459</v>
      </c>
      <c r="J20" s="63">
        <f t="shared" ca="1" si="11"/>
        <v>7736756.0545618134</v>
      </c>
      <c r="K20" s="63">
        <f t="shared" ca="1" si="11"/>
        <v>8585556.4792064428</v>
      </c>
    </row>
    <row r="21" spans="3:11" x14ac:dyDescent="0.25">
      <c r="D21" s="62" t="s">
        <v>189</v>
      </c>
      <c r="E21" s="63">
        <f>E19-E20</f>
        <v>2989360.76</v>
      </c>
      <c r="F21" s="63">
        <f>F19-F20</f>
        <v>-2631564.5249999999</v>
      </c>
      <c r="G21" s="63">
        <f>F21</f>
        <v>-2631564.5249999999</v>
      </c>
      <c r="H21" s="63">
        <f ca="1">+G19</f>
        <v>-671899.43991219578</v>
      </c>
      <c r="I21" s="63">
        <f ca="1">+H19</f>
        <v>3884681.0064498768</v>
      </c>
      <c r="J21" s="63">
        <f t="shared" ref="J21:K21" ca="1" si="12">+I19</f>
        <v>10229906.699805822</v>
      </c>
      <c r="K21" s="63">
        <f t="shared" ca="1" si="12"/>
        <v>17966662.754367635</v>
      </c>
    </row>
    <row r="22" spans="3:11" x14ac:dyDescent="0.25">
      <c r="D22" s="62"/>
      <c r="E22" s="63"/>
      <c r="F22" s="63"/>
      <c r="G22" s="63"/>
      <c r="H22" s="63"/>
      <c r="I22" s="63"/>
      <c r="J22" s="63"/>
      <c r="K22" s="63"/>
    </row>
    <row r="23" spans="3:11" x14ac:dyDescent="0.25">
      <c r="E23" s="63"/>
      <c r="F23" s="63"/>
      <c r="G23" s="63"/>
      <c r="H23" s="63"/>
      <c r="I23" s="63"/>
      <c r="J23" s="63"/>
      <c r="K23" s="63"/>
    </row>
    <row r="24" spans="3:11" s="66" customFormat="1" x14ac:dyDescent="0.25">
      <c r="C24" s="68"/>
      <c r="D24" s="66" t="s">
        <v>195</v>
      </c>
      <c r="E24" s="67"/>
      <c r="F24" s="67"/>
      <c r="G24" s="73">
        <v>0.43</v>
      </c>
      <c r="H24" s="73">
        <v>0.25</v>
      </c>
      <c r="I24" s="73">
        <v>0.2</v>
      </c>
      <c r="J24" s="73">
        <v>0.15</v>
      </c>
      <c r="K24" s="73">
        <v>0.1</v>
      </c>
    </row>
    <row r="25" spans="3:11" s="64" customFormat="1" x14ac:dyDescent="0.25">
      <c r="C25"/>
      <c r="D25" s="64" t="s">
        <v>184</v>
      </c>
      <c r="E25" s="58" t="s">
        <v>147</v>
      </c>
      <c r="F25" s="58" t="s">
        <v>148</v>
      </c>
      <c r="G25" s="58" t="s">
        <v>200</v>
      </c>
      <c r="H25" s="58" t="s">
        <v>201</v>
      </c>
      <c r="I25" s="58" t="s">
        <v>202</v>
      </c>
      <c r="J25" s="58" t="s">
        <v>203</v>
      </c>
      <c r="K25" s="58" t="s">
        <v>204</v>
      </c>
    </row>
    <row r="26" spans="3:11" x14ac:dyDescent="0.25">
      <c r="D26" s="59" t="s">
        <v>185</v>
      </c>
      <c r="E26" s="60">
        <f>SUM(B_GT!E103,B_GT!E112)</f>
        <v>119903016.3649998</v>
      </c>
      <c r="F26" s="60">
        <f>SUM(B_GT!F103,B_GT!F112)</f>
        <v>267898258.28500003</v>
      </c>
      <c r="G26" s="60">
        <f>F26*(1+G24)</f>
        <v>383094509.34755003</v>
      </c>
      <c r="H26" s="60">
        <f t="shared" ref="H26:K26" si="13">G26*(1+H24)</f>
        <v>478868136.68443751</v>
      </c>
      <c r="I26" s="60">
        <f t="shared" si="13"/>
        <v>574641764.02132499</v>
      </c>
      <c r="J26" s="60">
        <f t="shared" si="13"/>
        <v>660838028.62452364</v>
      </c>
      <c r="K26" s="60">
        <f t="shared" si="13"/>
        <v>726921831.48697603</v>
      </c>
    </row>
    <row r="27" spans="3:11" x14ac:dyDescent="0.25">
      <c r="D27" s="59" t="s">
        <v>186</v>
      </c>
      <c r="E27" s="60">
        <f>B_GT!E104</f>
        <v>-107088308.035</v>
      </c>
      <c r="F27" s="60">
        <f>B_GT!F104</f>
        <v>-242846141.67499998</v>
      </c>
      <c r="G27" s="60">
        <f>+G26*G28</f>
        <v>-347269982.59524995</v>
      </c>
      <c r="H27" s="60">
        <f t="shared" ref="H27:K27" si="14">+H26*H28</f>
        <v>-434087478.24406242</v>
      </c>
      <c r="I27" s="60">
        <f t="shared" si="14"/>
        <v>-520904973.8928749</v>
      </c>
      <c r="J27" s="60">
        <f t="shared" si="14"/>
        <v>-599040719.97680604</v>
      </c>
      <c r="K27" s="60">
        <f t="shared" si="14"/>
        <v>-658944791.97448671</v>
      </c>
    </row>
    <row r="28" spans="3:11" s="70" customFormat="1" x14ac:dyDescent="0.25">
      <c r="C28" s="69"/>
      <c r="D28" s="70" t="s">
        <v>196</v>
      </c>
      <c r="E28" s="71">
        <f>+E27/E26</f>
        <v>-0.89312438737162181</v>
      </c>
      <c r="F28" s="71">
        <f t="shared" ref="F28" si="15">+F27/F26</f>
        <v>-0.90648645209425482</v>
      </c>
      <c r="G28" s="71">
        <f>+F28</f>
        <v>-0.90648645209425482</v>
      </c>
      <c r="H28" s="71">
        <f t="shared" ref="H28:K32" si="16">+G28</f>
        <v>-0.90648645209425482</v>
      </c>
      <c r="I28" s="71">
        <f t="shared" si="16"/>
        <v>-0.90648645209425482</v>
      </c>
      <c r="J28" s="71">
        <f t="shared" si="16"/>
        <v>-0.90648645209425482</v>
      </c>
      <c r="K28" s="71">
        <f t="shared" si="16"/>
        <v>-0.90648645209425482</v>
      </c>
    </row>
    <row r="29" spans="3:11" x14ac:dyDescent="0.25">
      <c r="D29" s="59" t="s">
        <v>187</v>
      </c>
      <c r="E29" s="60">
        <f>B_GT!E107</f>
        <v>-11464714.074999999</v>
      </c>
      <c r="F29" s="60">
        <f>B_GT!F107</f>
        <v>-20512214.774999999</v>
      </c>
      <c r="G29" s="60">
        <f>G26*G30</f>
        <v>-29332467.128249995</v>
      </c>
      <c r="H29" s="60">
        <f t="shared" ref="H29:K29" si="17">H26*H30</f>
        <v>-36665583.910312496</v>
      </c>
      <c r="I29" s="60">
        <f t="shared" si="17"/>
        <v>-43998700.692374989</v>
      </c>
      <c r="J29" s="60">
        <f t="shared" si="17"/>
        <v>-50598505.796231233</v>
      </c>
      <c r="K29" s="60">
        <f t="shared" si="17"/>
        <v>-55658356.375854358</v>
      </c>
    </row>
    <row r="30" spans="3:11" s="70" customFormat="1" x14ac:dyDescent="0.25">
      <c r="C30" s="69"/>
      <c r="D30" s="70" t="s">
        <v>197</v>
      </c>
      <c r="E30" s="71">
        <f>+E29/E26</f>
        <v>-9.5616560972077408E-2</v>
      </c>
      <c r="F30" s="71">
        <f t="shared" ref="F30" si="18">+F29/F26</f>
        <v>-7.6567182281485194E-2</v>
      </c>
      <c r="G30" s="71">
        <f>+F30</f>
        <v>-7.6567182281485194E-2</v>
      </c>
      <c r="H30" s="71">
        <f t="shared" si="16"/>
        <v>-7.6567182281485194E-2</v>
      </c>
      <c r="I30" s="71">
        <f t="shared" si="16"/>
        <v>-7.6567182281485194E-2</v>
      </c>
      <c r="J30" s="71">
        <f t="shared" si="16"/>
        <v>-7.6567182281485194E-2</v>
      </c>
      <c r="K30" s="71">
        <f t="shared" si="16"/>
        <v>-7.6567182281485194E-2</v>
      </c>
    </row>
    <row r="31" spans="3:11" x14ac:dyDescent="0.25">
      <c r="D31" s="59" t="s">
        <v>190</v>
      </c>
      <c r="E31" s="60">
        <f>SUM(B_GT!E113,B_GT!E120)</f>
        <v>-3187440.665</v>
      </c>
      <c r="F31" s="60">
        <f>SUM(B_GT!F113,B_GT!F120)</f>
        <v>-2121862.59</v>
      </c>
      <c r="G31" s="60">
        <f>G26*G32</f>
        <v>-3034263.5036999998</v>
      </c>
      <c r="H31" s="60">
        <f t="shared" ref="H31:K31" si="19">H26*H32</f>
        <v>-3792829.3796249996</v>
      </c>
      <c r="I31" s="60">
        <f t="shared" si="19"/>
        <v>-4551395.255549999</v>
      </c>
      <c r="J31" s="60">
        <f t="shared" si="19"/>
        <v>-5234104.5438824985</v>
      </c>
      <c r="K31" s="60">
        <f t="shared" si="19"/>
        <v>-5757514.9982707482</v>
      </c>
    </row>
    <row r="32" spans="3:11" s="70" customFormat="1" x14ac:dyDescent="0.25">
      <c r="C32" s="69"/>
      <c r="D32" s="70" t="s">
        <v>198</v>
      </c>
      <c r="E32" s="71">
        <f>+E31/E26</f>
        <v>-2.6583490237618638E-2</v>
      </c>
      <c r="F32" s="71">
        <f>+F31/F26</f>
        <v>-7.9204045729281466E-3</v>
      </c>
      <c r="G32" s="71">
        <f>+F32</f>
        <v>-7.9204045729281466E-3</v>
      </c>
      <c r="H32" s="71">
        <f t="shared" si="16"/>
        <v>-7.9204045729281466E-3</v>
      </c>
      <c r="I32" s="71">
        <f t="shared" si="16"/>
        <v>-7.9204045729281466E-3</v>
      </c>
      <c r="J32" s="71">
        <f t="shared" si="16"/>
        <v>-7.9204045729281466E-3</v>
      </c>
      <c r="K32" s="71">
        <f t="shared" si="16"/>
        <v>-7.9204045729281466E-3</v>
      </c>
    </row>
    <row r="33" spans="3:12" x14ac:dyDescent="0.25">
      <c r="D33" s="59" t="s">
        <v>191</v>
      </c>
      <c r="E33" s="60">
        <f>+B_GT!E116</f>
        <v>-3680936.9199999995</v>
      </c>
      <c r="F33" s="60">
        <f>+B_GT!F116</f>
        <v>-4584742.9550000001</v>
      </c>
      <c r="G33" s="60">
        <f>AVERAGE(F16:G16)*G34</f>
        <v>-2018177.3882504895</v>
      </c>
      <c r="H33" s="60">
        <f>AVERAGE(G16:H16)*H34</f>
        <v>0</v>
      </c>
      <c r="I33" s="60">
        <f t="shared" ref="I33:K33" si="20">AVERAGE(H16:I16)*I34</f>
        <v>0</v>
      </c>
      <c r="J33" s="60">
        <f t="shared" si="20"/>
        <v>0</v>
      </c>
      <c r="K33" s="60">
        <f t="shared" si="20"/>
        <v>0</v>
      </c>
    </row>
    <row r="34" spans="3:12" s="70" customFormat="1" x14ac:dyDescent="0.25">
      <c r="C34" s="69"/>
      <c r="D34" s="70" t="s">
        <v>199</v>
      </c>
      <c r="E34" s="71"/>
      <c r="F34" s="71">
        <f>+F33/AVERAGE(E16:F16)</f>
        <v>-0.38466086257496629</v>
      </c>
      <c r="G34" s="71">
        <f>+F34</f>
        <v>-0.38466086257496629</v>
      </c>
      <c r="H34" s="71">
        <f t="shared" ref="H34:K34" si="21">+G34</f>
        <v>-0.38466086257496629</v>
      </c>
      <c r="I34" s="71">
        <f t="shared" si="21"/>
        <v>-0.38466086257496629</v>
      </c>
      <c r="J34" s="71">
        <f t="shared" si="21"/>
        <v>-0.38466086257496629</v>
      </c>
      <c r="K34" s="71">
        <f t="shared" si="21"/>
        <v>-0.38466086257496629</v>
      </c>
    </row>
    <row r="35" spans="3:12" x14ac:dyDescent="0.25">
      <c r="D35" s="59" t="s">
        <v>205</v>
      </c>
      <c r="E35" s="60"/>
      <c r="F35" s="60"/>
      <c r="G35" s="60">
        <f ca="1">AVERAGE(F4:G4)*0.3</f>
        <v>520046.35298820509</v>
      </c>
      <c r="H35" s="60">
        <f t="shared" ref="H35:K35" ca="1" si="22">AVERAGE(G4:H4)*0.3</f>
        <v>234335.29592447876</v>
      </c>
      <c r="I35" s="60">
        <f t="shared" ca="1" si="22"/>
        <v>123254.67586970329</v>
      </c>
      <c r="J35" s="60">
        <f t="shared" ca="1" si="22"/>
        <v>224706.53604558707</v>
      </c>
      <c r="K35" s="60">
        <f t="shared" ca="1" si="22"/>
        <v>307277.04500094202</v>
      </c>
      <c r="L35" s="60"/>
    </row>
    <row r="36" spans="3:12" x14ac:dyDescent="0.25">
      <c r="D36" s="59" t="s">
        <v>194</v>
      </c>
      <c r="E36" s="60">
        <f>+E26+E27+E29+E31+E33+E35</f>
        <v>-5518383.3300001938</v>
      </c>
      <c r="F36" s="60">
        <f t="shared" ref="F36:K36" si="23">+F26+F27+F29+F31+F33+F35</f>
        <v>-2166703.7099999543</v>
      </c>
      <c r="G36" s="60">
        <f t="shared" ca="1" si="23"/>
        <v>1959665.0850878041</v>
      </c>
      <c r="H36" s="60">
        <f t="shared" ca="1" si="23"/>
        <v>4556580.4463620726</v>
      </c>
      <c r="I36" s="60">
        <f t="shared" ca="1" si="23"/>
        <v>5309948.8563948106</v>
      </c>
      <c r="J36" s="60">
        <f t="shared" ca="1" si="23"/>
        <v>6189404.8436494507</v>
      </c>
      <c r="K36" s="60">
        <f t="shared" ca="1" si="23"/>
        <v>6868445.183365155</v>
      </c>
    </row>
    <row r="37" spans="3:12" x14ac:dyDescent="0.25">
      <c r="D37" s="59" t="s">
        <v>192</v>
      </c>
      <c r="E37" s="60">
        <v>0</v>
      </c>
      <c r="F37" s="60" cm="1">
        <f t="array" ref="F37">_xlfn.IFS(E37&gt;0,F36*0.25,SUM($E$36:F36)&gt;0,SUM($E$36:F36)*0.25,TRUE,0)</f>
        <v>0</v>
      </c>
      <c r="G37" s="60" cm="1">
        <f t="array" aca="1" ref="G37" ca="1">_xlfn.IFS(F37&gt;0,G36*0.25,SUM($E$36:G36)&gt;0,SUM($E$36:G36)*0.25,TRUE,0)</f>
        <v>0</v>
      </c>
      <c r="H37" s="60" cm="1">
        <f t="array" aca="1" ref="H37" ca="1">_xlfn.IFS(G37&gt;0,H36*0.25,SUM($E$36:H36)&gt;0,SUM($E$36:H36)*0.25,TRUE,0)</f>
        <v>0</v>
      </c>
      <c r="I37" s="60" cm="1">
        <f t="array" aca="1" ref="I37" ca="1">_xlfn.IFS(H37&gt;0,I36*0.25,SUM(E36:I36)&gt;0,SUM(E36:I36)*0.25,TRUE,0)</f>
        <v>1035276.8369611348</v>
      </c>
      <c r="J37" s="60" cm="1">
        <f t="array" aca="1" ref="J37" ca="1">_xlfn.IFS(I37&gt;0,J36*0.25,SUM(F36:J36)&gt;0,SUM(F36:J36)*0.25,TRUE,0)</f>
        <v>1547351.2109123627</v>
      </c>
      <c r="K37" s="60" cm="1">
        <f t="array" aca="1" ref="K37" ca="1">_xlfn.IFS(J37&gt;0,K36*0.25,SUM(G36:K36)&gt;0,SUM(G36:K36)*0.25,TRUE,0)</f>
        <v>1717111.2958412888</v>
      </c>
    </row>
    <row r="38" spans="3:12" x14ac:dyDescent="0.25">
      <c r="D38" s="59" t="s">
        <v>193</v>
      </c>
      <c r="E38" s="60">
        <f>+E36+E37</f>
        <v>-5518383.3300001938</v>
      </c>
      <c r="F38" s="60">
        <f>+F36+F37</f>
        <v>-2166703.7099999543</v>
      </c>
      <c r="G38" s="60">
        <f t="shared" ref="G38:K38" ca="1" si="24">+G36+G37</f>
        <v>1959665.0850878041</v>
      </c>
      <c r="H38" s="60">
        <f t="shared" ca="1" si="24"/>
        <v>4556580.4463620726</v>
      </c>
      <c r="I38" s="60">
        <f t="shared" ca="1" si="24"/>
        <v>6345225.6933559459</v>
      </c>
      <c r="J38" s="60">
        <f t="shared" ca="1" si="24"/>
        <v>7736756.0545618134</v>
      </c>
      <c r="K38" s="60">
        <f t="shared" ca="1" si="24"/>
        <v>8585556.4792064428</v>
      </c>
    </row>
    <row r="39" spans="3:12" x14ac:dyDescent="0.25">
      <c r="E39" s="60"/>
      <c r="F39" s="60"/>
      <c r="G39" s="60"/>
      <c r="H39" s="60"/>
      <c r="I39" s="60"/>
      <c r="J39" s="60"/>
      <c r="K39" s="60"/>
    </row>
    <row r="40" spans="3:12" x14ac:dyDescent="0.25">
      <c r="E40" s="60"/>
      <c r="F40" s="60"/>
      <c r="G40" s="72"/>
      <c r="H40" s="72"/>
      <c r="I40" s="72"/>
      <c r="J40" s="72"/>
      <c r="K40" s="72"/>
    </row>
    <row r="41" spans="3:12" x14ac:dyDescent="0.25">
      <c r="E41" s="60"/>
      <c r="F41" s="60"/>
      <c r="G41" s="72"/>
      <c r="H41" s="72"/>
      <c r="I41" s="72"/>
      <c r="J41" s="72"/>
      <c r="K41" s="72"/>
    </row>
    <row r="42" spans="3:12" x14ac:dyDescent="0.25">
      <c r="E42" s="60"/>
      <c r="F42" s="60"/>
      <c r="G42" s="72"/>
      <c r="H42" s="72"/>
      <c r="I42" s="72"/>
      <c r="J42" s="72"/>
      <c r="K42" s="72"/>
    </row>
    <row r="43" spans="3:12" x14ac:dyDescent="0.25">
      <c r="E43" s="60"/>
      <c r="F43" s="60"/>
      <c r="G43" s="72"/>
      <c r="H43" s="72"/>
      <c r="I43" s="72"/>
      <c r="J43" s="72"/>
      <c r="K43" s="72"/>
    </row>
    <row r="44" spans="3:12" x14ac:dyDescent="0.25">
      <c r="D44" s="59" t="s">
        <v>206</v>
      </c>
      <c r="E44" s="60"/>
      <c r="F44" s="75">
        <f>365/(F26/(AVERAGE(E5:F5)/1.2))</f>
        <v>39.08557994627671</v>
      </c>
      <c r="G44" s="75">
        <f t="shared" ref="G44:K44" si="25">365/(G26/(AVERAGE(F5:G5)/1.2))</f>
        <v>38.890003299866933</v>
      </c>
      <c r="H44" s="75">
        <f t="shared" si="25"/>
        <v>41.194596088007195</v>
      </c>
      <c r="I44" s="75">
        <f t="shared" si="25"/>
        <v>41.957458978525842</v>
      </c>
      <c r="J44" s="75">
        <f t="shared" si="25"/>
        <v>42.786657772567864</v>
      </c>
      <c r="K44" s="75">
        <f t="shared" si="25"/>
        <v>43.691238275159144</v>
      </c>
    </row>
    <row r="45" spans="3:12" x14ac:dyDescent="0.25">
      <c r="D45" s="59" t="s">
        <v>208</v>
      </c>
      <c r="E45" s="60"/>
      <c r="F45" s="75">
        <f>365/(-F27/AVERAGE(E6:F6))</f>
        <v>30.786284283725792</v>
      </c>
      <c r="G45" s="75">
        <f t="shared" ref="G45:K45" si="26">365/(-G27/AVERAGE(F6:G6))</f>
        <v>37.097980385949555</v>
      </c>
      <c r="H45" s="75">
        <f t="shared" si="26"/>
        <v>39.296379223635448</v>
      </c>
      <c r="I45" s="75">
        <f t="shared" si="26"/>
        <v>40.024089949999073</v>
      </c>
      <c r="J45" s="75">
        <f t="shared" si="26"/>
        <v>40.815079869959533</v>
      </c>
      <c r="K45" s="75">
        <f t="shared" si="26"/>
        <v>41.677977964461839</v>
      </c>
    </row>
    <row r="46" spans="3:12" x14ac:dyDescent="0.25">
      <c r="D46" s="59" t="s">
        <v>207</v>
      </c>
      <c r="E46" s="60"/>
      <c r="F46" s="75">
        <f>365/(-SUM(F27,F29)/(AVERAGE(E17:F17)/1.2))</f>
        <v>78.160167585512298</v>
      </c>
      <c r="G46" s="75">
        <f t="shared" ref="G46:K46" si="27">365/(-SUM(G27,G29)/(AVERAGE(F17:G17)/1.2))</f>
        <v>89.544425664959832</v>
      </c>
      <c r="H46" s="75">
        <f t="shared" si="27"/>
        <v>89.236030586962841</v>
      </c>
      <c r="I46" s="75">
        <f t="shared" si="27"/>
        <v>84.517011093762008</v>
      </c>
      <c r="J46" s="75">
        <f t="shared" si="27"/>
        <v>81.307297303202233</v>
      </c>
      <c r="K46" s="75">
        <f t="shared" si="27"/>
        <v>78.818824483482217</v>
      </c>
    </row>
    <row r="47" spans="3:12" x14ac:dyDescent="0.25">
      <c r="E47" s="60"/>
      <c r="F47" s="60"/>
      <c r="G47" s="60"/>
      <c r="H47" s="60"/>
      <c r="I47" s="60"/>
      <c r="J47" s="60"/>
      <c r="K47" s="60"/>
    </row>
    <row r="48" spans="3:12" x14ac:dyDescent="0.25">
      <c r="E48" s="60"/>
      <c r="F48" s="60"/>
      <c r="G48" s="60"/>
      <c r="H48" s="60"/>
      <c r="I48" s="60"/>
      <c r="J48" s="60"/>
      <c r="K48" s="60"/>
    </row>
    <row r="49" spans="5:11" x14ac:dyDescent="0.25">
      <c r="E49" s="60"/>
      <c r="F49" s="60"/>
      <c r="G49" s="60"/>
      <c r="H49" s="60"/>
      <c r="I49" s="60"/>
      <c r="J49" s="60"/>
      <c r="K49" s="60"/>
    </row>
    <row r="50" spans="5:11" x14ac:dyDescent="0.25">
      <c r="E50" s="60"/>
      <c r="F50" s="60"/>
      <c r="G50" s="60"/>
      <c r="H50" s="60"/>
      <c r="I50" s="60"/>
      <c r="J50" s="60"/>
      <c r="K50" s="6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6</vt:i4>
      </vt:variant>
    </vt:vector>
  </HeadingPairs>
  <TitlesOfParts>
    <vt:vector size="6" baseType="lpstr">
      <vt:lpstr>B_GT</vt:lpstr>
      <vt:lpstr>Özet B_GT</vt:lpstr>
      <vt:lpstr>Projeksiyon</vt:lpstr>
      <vt:lpstr>1. Faiz Geliri</vt:lpstr>
      <vt:lpstr>2. Finansal Borç Ödemesi</vt:lpstr>
      <vt:lpstr>3. Ticari Borç Ödemeleri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Çilman</dc:creator>
  <cp:lastModifiedBy>Kenan Çilman</cp:lastModifiedBy>
  <dcterms:created xsi:type="dcterms:W3CDTF">2025-06-03T08:38:15Z</dcterms:created>
  <dcterms:modified xsi:type="dcterms:W3CDTF">2025-06-11T09:46:26Z</dcterms:modified>
</cp:coreProperties>
</file>